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DieseArbeitsmappe"/>
  <mc:AlternateContent xmlns:mc="http://schemas.openxmlformats.org/markup-compatibility/2006">
    <mc:Choice Requires="x15">
      <x15ac:absPath xmlns:x15ac="http://schemas.microsoft.com/office/spreadsheetml/2010/11/ac" url="https://fokuse-my.sharepoint.com/personal/patrik_kuettel_fokuse_onmicrosoft_com/Documents/#Daten/23_QMH-Entwicklungsprojekte/2016_BFE_QMH_Wirtschaftlichkeitsrechnung/3_Resultate/Version_F/"/>
    </mc:Choice>
  </mc:AlternateContent>
  <xr:revisionPtr revIDLastSave="19" documentId="8_{F8AFCCD8-40B4-457B-A885-FA9910487DBC}" xr6:coauthVersionLast="47" xr6:coauthVersionMax="47" xr10:uidLastSave="{6ECB39BF-B074-4AD5-B974-DAAAC2F83883}"/>
  <bookViews>
    <workbookView xWindow="32835" yWindow="2280" windowWidth="20205" windowHeight="12945" tabRatio="481" xr2:uid="{00000000-000D-0000-FFFF-FFFF00000000}"/>
  </bookViews>
  <sheets>
    <sheet name="I1_Explications" sheetId="4" r:id="rId1"/>
    <sheet name="E1_Données de projet" sheetId="9" r:id="rId2"/>
    <sheet name="E2_Prix de la chaleur" sheetId="6" r:id="rId3"/>
    <sheet name="E3_Consommateurs" sheetId="15" r:id="rId4"/>
    <sheet name="B1_Calculs" sheetId="8" r:id="rId5"/>
    <sheet name="A1_Résultats" sheetId="16" r:id="rId6"/>
    <sheet name="A2_Données VAN" sheetId="14" r:id="rId7"/>
  </sheets>
  <definedNames>
    <definedName name="Anteil_fossil_erzeugt">'E1_Données de projet'!$D$27</definedName>
    <definedName name="_xlnm.Print_Area" localSheetId="5">A1_Résultats!$B$1:$M$59</definedName>
    <definedName name="_xlnm.Print_Area" localSheetId="4">B1_Calculs!$B$1:$AG$60</definedName>
    <definedName name="_xlnm.Print_Area" localSheetId="1">'E1_Données de projet'!$B$1:$N$104</definedName>
    <definedName name="_xlnm.Print_Area" localSheetId="2">'E2_Prix de la chaleur'!$B$1:$I$38</definedName>
    <definedName name="_xlnm.Print_Area" localSheetId="3">E3_Consommateurs!$B$1:$GB$29</definedName>
    <definedName name="_xlnm.Print_Titles" localSheetId="1">'E1_Données de projet'!$1:$2</definedName>
    <definedName name="_xlnm.Print_Titles" localSheetId="3">E3_Consommateurs!$B:$C</definedName>
    <definedName name="_xlnm.Print_Titles" localSheetId="0">I1_Explications!$3:$3</definedName>
    <definedName name="Eing_Abnehmerart1">'E2_Prix de la chaleur'!$D$14</definedName>
    <definedName name="Eing_Abnehmerart2">'E2_Prix de la chaleur'!$D$20</definedName>
    <definedName name="Eing_Abnehmerart3">'E2_Prix de la chaleur'!$D$26</definedName>
    <definedName name="Eing_Abnehmerart4">'E2_Prix de la chaleur'!$D$32</definedName>
    <definedName name="Eing_Administration">'E1_Données de projet'!$D$36</definedName>
    <definedName name="Eing_allg_Teuerung">'E1_Données de projet'!$D$41</definedName>
    <definedName name="Eing_Anteil_Biomasse">'E1_Données de projet'!$D$26</definedName>
    <definedName name="Eing_Arbeitspreis1">'E2_Prix de la chaleur'!$G$16</definedName>
    <definedName name="Eing_Arbeitspreis2">'E2_Prix de la chaleur'!$G$22</definedName>
    <definedName name="Eing_Arbeitspreis3">'E2_Prix de la chaleur'!$G$28</definedName>
    <definedName name="Eing_Arbeitspreis4">'E2_Prix de la chaleur'!$G$34</definedName>
    <definedName name="Eing_Beginnjahr">'E1_Données de projet'!$D$21</definedName>
    <definedName name="Eing_Betriebskosten">'E1_Données de projet'!$D$35</definedName>
    <definedName name="Eing_Förderung_wiederholend_Laufzeit">'E1_Données de projet'!$D$82</definedName>
    <definedName name="Eing_Jahresnutzungsgrad_Kessel">'E1_Données de projet'!$D$29</definedName>
    <definedName name="Eing_Kosten_Bau">'E1_Données de projet'!$D$48</definedName>
    <definedName name="Eing_Kosten_Grundstück">'E1_Données de projet'!$D$39</definedName>
    <definedName name="Eing_Kosten_Hausstationen">'E1_Données de projet'!$D$54</definedName>
    <definedName name="Eing_Kosten_Planung_QM">'E1_Données de projet'!$D$55</definedName>
    <definedName name="Eing_Kosten_Wärmeerzeugung">'E1_Données de projet'!$D$51</definedName>
    <definedName name="Eing_Kosten_Wärmenetz">'E1_Données de projet'!$D$52</definedName>
    <definedName name="Eing_Kredit_1">'E1_Données de projet'!$D$63</definedName>
    <definedName name="Eing_Kredit_2">'E1_Données de projet'!$D$69</definedName>
    <definedName name="Eing_Kreditlaufzeit_1">'E1_Données de projet'!$D$64</definedName>
    <definedName name="Eing_Kreditlaufzeit_2">'E1_Données de projet'!$D$70</definedName>
    <definedName name="Eing_Kreditstartjahr_1">'E1_Données de projet'!$D$65</definedName>
    <definedName name="Eing_Kreditstartjahr_2">'E1_Données de projet'!$D$71</definedName>
    <definedName name="Eing_Kreditzinssatz_1">'E1_Données de projet'!$D$66</definedName>
    <definedName name="Eing_Kreditzinssatz_2">'E1_Données de projet'!$D$72</definedName>
    <definedName name="Eing_Leistungspreis1">'E2_Prix de la chaleur'!$G$15</definedName>
    <definedName name="Eing_Leistungspreis2">'E2_Prix de la chaleur'!$G$21</definedName>
    <definedName name="Eing_Leistungspreis3">'E2_Prix de la chaleur'!$G$27</definedName>
    <definedName name="Eing_Leistungspreis4">'E2_Prix de la chaleur'!$G$33</definedName>
    <definedName name="Eing_Netzverluste">'E1_Données de projet'!$D$18</definedName>
    <definedName name="Eing_Nominalzins">'E1_Données de projet'!$D$42</definedName>
    <definedName name="Eing_Realzins">'E1_Données de projet'!$D$43</definedName>
    <definedName name="Eing_Rohstoffpreis_Biomasse">'E1_Données de projet'!$D$25</definedName>
    <definedName name="Eing_Rohstoffpreis_fossil">'E1_Données de projet'!$D$28</definedName>
    <definedName name="Eing_Sonstige_Kosten">'E1_Données de projet'!$D$40</definedName>
    <definedName name="Eing_Spez_Stromverbrauch">'E1_Données de projet'!$D$31</definedName>
    <definedName name="Eing_Strompreis">'E1_Données de projet'!$D$32</definedName>
    <definedName name="Eing_Unterhaltskosten">'E1_Données de projet'!$D$37</definedName>
    <definedName name="Eing_verkaufteWM">'E1_Données de projet'!$D$17</definedName>
    <definedName name="Eing_Vertragslaufzeit1">'E2_Prix de la chaleur'!$G$17</definedName>
    <definedName name="Eing_Vertragslaufzeit2">'E2_Prix de la chaleur'!$G$23</definedName>
    <definedName name="Eing_Vertragslaufzeit3">'E2_Prix de la chaleur'!$G$29</definedName>
    <definedName name="Eing_Vertragslaufzeit4">'E2_Prix de la chaleur'!$G$35</definedName>
    <definedName name="Eingesetzte_Brennstoffwärme_Biomasse">'E1_Données de projet'!$D$87</definedName>
    <definedName name="Eingesetzte_Brennstoffwärme_fossil">'E1_Données de projet'!$D$88</definedName>
    <definedName name="Einmaliger_Förderbeitrag_1">'E1_Données de projet'!$D$76</definedName>
    <definedName name="Einmaliger_Förderbeitrag_2">'E1_Données de projet'!$D$78</definedName>
    <definedName name="Erg_Wärmepreis">A1_Résultats!$Q$11</definedName>
    <definedName name="Ergebnisblatt_Projekttitel">B1_Calculs!$D$6</definedName>
    <definedName name="Erstauszahlung_jährlFörderung">'E1_Données de projet'!$D$83</definedName>
    <definedName name="Erzeugte_Wärmemenge">'E1_Données de projet'!$D$86</definedName>
    <definedName name="Förderlaufzeit">'E1_Données de projet'!$D$82</definedName>
    <definedName name="Förderungsauszahlung_1">'E1_Données de projet'!$D$77</definedName>
    <definedName name="Förderungsauszahlung_2">'E1_Données de projet'!$D$79</definedName>
    <definedName name="Gesamte_Investitionskosten">'E1_Données de projet'!$D$94</definedName>
    <definedName name="Gesamtinvestition">'E1_Données de projet'!$D$56</definedName>
    <definedName name="Gewbl_Wärmemenge">'E2_Prix de la chaleur'!$G$20</definedName>
    <definedName name="Grundpreis">'E2_Prix de la chaleur'!$G$15</definedName>
    <definedName name="I1_100">I1_Explications!$A$7</definedName>
    <definedName name="I1_101">I1_Explications!$A$8</definedName>
    <definedName name="I1_102">I1_Explications!$A$9</definedName>
    <definedName name="I1_103">I1_Explications!$A$10</definedName>
    <definedName name="I1_104">I1_Explications!$A$11</definedName>
    <definedName name="I1_105">I1_Explications!$A$12</definedName>
    <definedName name="I1_106">I1_Explications!$A$13</definedName>
    <definedName name="I1_107">I1_Explications!$A$14</definedName>
    <definedName name="I1_108">I1_Explications!$A$15</definedName>
    <definedName name="I1_110">I1_Explications!$A$16</definedName>
    <definedName name="I1_111">I1_Explications!$A$17</definedName>
    <definedName name="I1_112">I1_Explications!$A$18</definedName>
    <definedName name="i1_113">I1_Explications!$A$19</definedName>
    <definedName name="I1_114">I1_Explications!$A$20</definedName>
    <definedName name="I1_115">I1_Explications!$A$21</definedName>
    <definedName name="I1_120">I1_Explications!$A$22</definedName>
    <definedName name="I1_121">I1_Explications!$A$23</definedName>
    <definedName name="I1_122">I1_Explications!$A$24</definedName>
    <definedName name="I1_123">I1_Explications!$A$25</definedName>
    <definedName name="I1_124">I1_Explications!$A$26</definedName>
    <definedName name="I1_125">I1_Explications!$A$27</definedName>
    <definedName name="I1_126">I1_Explications!$A$28</definedName>
    <definedName name="I1_127">I1_Explications!$A$29</definedName>
    <definedName name="I1_130">I1_Explications!$A$30</definedName>
    <definedName name="I1_131">I1_Explications!$A$31</definedName>
    <definedName name="I1_132">I1_Explications!$A$32</definedName>
    <definedName name="I1_135">I1_Explications!$A$33</definedName>
    <definedName name="I1_136">I1_Explications!$A$34</definedName>
    <definedName name="I1_137">I1_Explications!$A$35</definedName>
    <definedName name="I1_138">I1_Explications!$A$36</definedName>
    <definedName name="I1_139">I1_Explications!$A$37</definedName>
    <definedName name="I1_140">I1_Explications!$A$38</definedName>
    <definedName name="I1_141">I1_Explications!$A$39</definedName>
    <definedName name="I1_142">I1_Explications!$A$40</definedName>
    <definedName name="I1_143">I1_Explications!$A$41</definedName>
    <definedName name="I1_150">I1_Explications!$A$42</definedName>
    <definedName name="I1_151">I1_Explications!$A$43</definedName>
    <definedName name="I1_152">I1_Explications!$A$44</definedName>
    <definedName name="I1_153">I1_Explications!$A$45</definedName>
    <definedName name="I1_154">I1_Explications!$A$46</definedName>
    <definedName name="I1_155">I1_Explications!$A$47</definedName>
    <definedName name="I1_156">I1_Explications!$A$48</definedName>
    <definedName name="I1_157">I1_Explications!$A$49</definedName>
    <definedName name="I1_158">I1_Explications!$A$50</definedName>
    <definedName name="I1_159">I1_Explications!$A$51</definedName>
    <definedName name="I1_160">I1_Explications!$A$52</definedName>
    <definedName name="I1_161">I1_Explications!$A$53</definedName>
    <definedName name="I1_162">I1_Explications!$A$54</definedName>
    <definedName name="I1_163">I1_Explications!$A$55</definedName>
    <definedName name="I1_165">I1_Explications!$A$56</definedName>
    <definedName name="I1_166">I1_Explications!$A$57</definedName>
    <definedName name="I1_167">I1_Explications!$A$58</definedName>
    <definedName name="I1_168">I1_Explications!$A$59</definedName>
    <definedName name="I1_169">I1_Explications!$A$60</definedName>
    <definedName name="I1_170">I1_Explications!$A$61</definedName>
    <definedName name="I1_171">I1_Explications!$A$62</definedName>
    <definedName name="I1_172">I1_Explications!$A$63</definedName>
    <definedName name="I1_173">I1_Explications!$A$64</definedName>
    <definedName name="I1_174">I1_Explications!$A$65</definedName>
    <definedName name="I1_175">I1_Explications!$A$66</definedName>
    <definedName name="I1_176">I1_Explications!$A$67</definedName>
    <definedName name="I1_177">I1_Explications!$A$68</definedName>
    <definedName name="I1_178">I1_Explications!$A$69</definedName>
    <definedName name="I1_179">I1_Explications!$A$70</definedName>
    <definedName name="I1_180">I1_Explications!$A$71</definedName>
    <definedName name="I1_181">I1_Explications!$A$72</definedName>
    <definedName name="I1_182">I1_Explications!$A$73</definedName>
    <definedName name="I1_183">I1_Explications!$A$74</definedName>
    <definedName name="I1_184">I1_Explications!$A$75</definedName>
    <definedName name="I1_185">I1_Explications!$A$76</definedName>
    <definedName name="I1_186">I1_Explications!$A$77</definedName>
    <definedName name="I1_187">I1_Explications!$A$78</definedName>
    <definedName name="I1_190">I1_Explications!$A$79</definedName>
    <definedName name="I1_191">I1_Explications!$A$80</definedName>
    <definedName name="I1_192">I1_Explications!$A$81</definedName>
    <definedName name="I1_193">I1_Explications!$A$82</definedName>
    <definedName name="I1_194">I1_Explications!$A$83</definedName>
    <definedName name="I1_195">I1_Explications!$A$84</definedName>
    <definedName name="I1_196">I1_Explications!$A$85</definedName>
    <definedName name="I1_197">I1_Explications!$A$86</definedName>
    <definedName name="I1_198">I1_Explications!$A$87</definedName>
    <definedName name="I1_199">I1_Explications!$A$88</definedName>
    <definedName name="I1_200">I1_Explications!$A$90</definedName>
    <definedName name="I1_206">I1_Explications!$A$91</definedName>
    <definedName name="I1_207">I1_Explications!$A$92</definedName>
    <definedName name="I1_210">I1_Explications!$A$93</definedName>
    <definedName name="I1_211">I1_Explications!$A$94</definedName>
    <definedName name="I1_212">I1_Explications!$A$95</definedName>
    <definedName name="I1_213">I1_Explications!$A$96</definedName>
    <definedName name="I1_214">I1_Explications!$A$97</definedName>
    <definedName name="I1_221">I1_Explications!$A$98</definedName>
    <definedName name="I1_222">I1_Explications!$A$98</definedName>
    <definedName name="I1_223">I1_Explications!$A$98</definedName>
    <definedName name="I1_231">I1_Explications!$A$99</definedName>
    <definedName name="I1_232">I1_Explications!$A$99</definedName>
    <definedName name="I1_233">I1_Explications!$A$99</definedName>
    <definedName name="I1_241">I1_Explications!$A$100</definedName>
    <definedName name="I1_242">I1_Explications!$A$100</definedName>
    <definedName name="I1_243">I1_Explications!$A$100</definedName>
    <definedName name="I1_300">I1_Explications!$A$102</definedName>
    <definedName name="I1_310">I1_Explications!$A$103</definedName>
    <definedName name="I1_311">I1_Explications!$A$104</definedName>
    <definedName name="I1_312">I1_Explications!$A$105</definedName>
    <definedName name="I1_320">I1_Explications!$A$106</definedName>
    <definedName name="I1_321">I1_Explications!$A$107</definedName>
    <definedName name="I1_322">I1_Explications!$A$108</definedName>
    <definedName name="I1_323">I1_Explications!$A$109</definedName>
    <definedName name="I1_324">I1_Explications!$A$110</definedName>
    <definedName name="I1_325">I1_Explications!$A$111</definedName>
    <definedName name="I1_330">I1_Explications!$A$112</definedName>
    <definedName name="I1_331">I1_Explications!$A$113</definedName>
    <definedName name="I1_332">I1_Explications!$A$114</definedName>
    <definedName name="I1_333">I1_Explications!$A$115</definedName>
    <definedName name="I1_334">I1_Explications!$A$116</definedName>
    <definedName name="I1_335">I1_Explications!$A$117</definedName>
    <definedName name="I1_500">I1_Explications!$A$119</definedName>
    <definedName name="I1_501">I1_Explications!$A$120</definedName>
    <definedName name="I1_505">I1_Explications!$A$121</definedName>
    <definedName name="I1_510">I1_Explications!$A$122</definedName>
    <definedName name="I1_511">I1_Explications!$A$123</definedName>
    <definedName name="I1_512">I1_Explications!$A$124</definedName>
    <definedName name="I1_513">I1_Explications!$A$125</definedName>
    <definedName name="I1_514">I1_Explications!$A$126</definedName>
    <definedName name="I1_515">I1_Explications!$A$127</definedName>
    <definedName name="I1_516">I1_Explications!$A$128</definedName>
    <definedName name="I1_517">I1_Explications!$A$129</definedName>
    <definedName name="I1_518">I1_Explications!$A$130</definedName>
    <definedName name="I1_519">I1_Explications!$A$131</definedName>
    <definedName name="I1_520">I1_Explications!$A$132</definedName>
    <definedName name="I1_525">I1_Explications!#REF!</definedName>
    <definedName name="I1_526">I1_Explications!#REF!</definedName>
    <definedName name="I1_530">I1_Explications!$A$133</definedName>
    <definedName name="I1_531">I1_Explications!$A$134</definedName>
    <definedName name="I1_550">I1_Explications!$A$135</definedName>
    <definedName name="I1_551">I1_Explications!$A$136</definedName>
    <definedName name="I1_552">I1_Explications!$A$137</definedName>
    <definedName name="I1_553">I1_Explications!$A$138</definedName>
    <definedName name="I1_554">I1_Explications!$A$139</definedName>
    <definedName name="I1_555">I1_Explications!$A$140</definedName>
    <definedName name="I1_556">I1_Explications!$A$141</definedName>
    <definedName name="I1_557">I1_Explications!$A$142</definedName>
    <definedName name="I1_558">I1_Explications!$A$143</definedName>
    <definedName name="I1_559">I1_Explications!$A$144</definedName>
    <definedName name="I1_560">I1_Explications!$A$145</definedName>
    <definedName name="I1_561">I1_Explications!$A$146</definedName>
    <definedName name="I1_562">I1_Explications!$A$147</definedName>
    <definedName name="I1_563">I1_Explications!$A$148</definedName>
    <definedName name="I1_564">I1_Explications!$A$149</definedName>
    <definedName name="I1_571">I1_Explications!$A$150</definedName>
    <definedName name="I1_572">I1_Explications!$A$151</definedName>
    <definedName name="I1_573">I1_Explications!$A$152</definedName>
    <definedName name="I1_574">I1_Explications!$A$153</definedName>
    <definedName name="I1_575">I1_Explications!$A$154</definedName>
    <definedName name="I1_576">I1_Explications!$A$155</definedName>
    <definedName name="I1_577">I1_Explications!$A$156</definedName>
    <definedName name="I1_578">I1_Explications!$A$157</definedName>
    <definedName name="I1_580">I1_Explications!$A$158</definedName>
    <definedName name="I1_581">I1_Explications!$A$159</definedName>
    <definedName name="I1_582">I1_Explications!$A$160</definedName>
    <definedName name="I1_583">I1_Explications!$A$161</definedName>
    <definedName name="I1_584">I1_Explications!$A$162</definedName>
    <definedName name="I1_586">I1_Explications!$A$163</definedName>
    <definedName name="I1_587">I1_Explications!$A$164</definedName>
    <definedName name="I1_588">I1_Explications!$A$165</definedName>
    <definedName name="I1_589">I1_Explications!$A$166</definedName>
    <definedName name="I1_590">I1_Explications!$A$167</definedName>
    <definedName name="I1_591">I1_Explications!$A$168</definedName>
    <definedName name="I1_600">I1_Explications!$A$170</definedName>
    <definedName name="I1_610">I1_Explications!$A$171</definedName>
    <definedName name="I1_612">I1_Explications!$A$172</definedName>
    <definedName name="I1_613">I1_Explications!$A$173</definedName>
    <definedName name="I1_615">I1_Explications!$A$174</definedName>
    <definedName name="I1_620">I1_Explications!$A$175</definedName>
    <definedName name="I1_621">I1_Explications!$A$176</definedName>
    <definedName name="I1_622">I1_Explications!$A$177</definedName>
    <definedName name="I1_623">I1_Explications!$A$178</definedName>
    <definedName name="I1_624">I1_Explications!$A$179</definedName>
    <definedName name="I1_625">I1_Explications!$A$180</definedName>
    <definedName name="I1_626">I1_Explications!$A$181</definedName>
    <definedName name="I1_627">I1_Explications!$A$182</definedName>
    <definedName name="I1_650">I1_Explications!$A$183</definedName>
    <definedName name="I1_651">I1_Explications!$A$184</definedName>
    <definedName name="I1_652">I1_Explications!$A$185</definedName>
    <definedName name="I1_653">I1_Explications!$A$186</definedName>
    <definedName name="I1_660">I1_Explications!$A$187</definedName>
    <definedName name="I1_661">I1_Explications!$A$188</definedName>
    <definedName name="I1_690">I1_Explications!$A$189</definedName>
    <definedName name="I1_900">I1_Explications!$A$191</definedName>
    <definedName name="I1_910">I1_Explications!$A$192</definedName>
    <definedName name="I1_911">I1_Explications!$A$193</definedName>
    <definedName name="I1_912">I1_Explications!$A$194</definedName>
    <definedName name="I1_920">I1_Explications!$A$195</definedName>
    <definedName name="I1_921">I1_Explications!$A$196</definedName>
    <definedName name="I1_922">I1_Explications!$A$197</definedName>
    <definedName name="I1_923">I1_Explications!$A$198</definedName>
    <definedName name="I1_924">I1_Explications!$A$199</definedName>
    <definedName name="I1_925">I1_Explications!$A$200</definedName>
    <definedName name="I1_926">I1_Explications!$A$201</definedName>
    <definedName name="I1_927">I1_Explications!$A$202</definedName>
    <definedName name="I1_928">I1_Explications!$A$203</definedName>
    <definedName name="I1_929">I1_Explications!$A$204</definedName>
    <definedName name="I1_930">I1_Explications!$A$205</definedName>
    <definedName name="jährlicher_Förderbeitrag">'E1_Données de projet'!$D$81</definedName>
    <definedName name="jährlicher_Stromverbrauch">'E1_Données de projet'!$D$89</definedName>
    <definedName name="järhliche_Stromkosten">'E1_Données de projet'!$D$92</definedName>
    <definedName name="maxEigenkapital">B1_Calculs!$F$29</definedName>
    <definedName name="Realzins">'E1_Données de projet'!$D$43</definedName>
    <definedName name="Stromverbrauch">'E1_Données de projet'!$C$92</definedName>
    <definedName name="Wärmepreis">A1_Résultats!$Q$11</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8" l="1"/>
  <c r="B37" i="8"/>
  <c r="B38" i="8"/>
  <c r="B39" i="8"/>
  <c r="B40" i="8"/>
  <c r="B41" i="8"/>
  <c r="B42" i="8"/>
  <c r="B43" i="8"/>
  <c r="B44" i="8"/>
  <c r="B45" i="8"/>
  <c r="B46" i="8"/>
  <c r="B47" i="8"/>
  <c r="B48" i="8"/>
  <c r="B49" i="8"/>
  <c r="B50" i="8"/>
  <c r="B51" i="8"/>
  <c r="B52" i="8"/>
  <c r="B53" i="8"/>
  <c r="B54" i="8"/>
  <c r="B55" i="8"/>
  <c r="B56" i="8"/>
  <c r="B57" i="8"/>
  <c r="B58" i="8"/>
  <c r="B59" i="8"/>
  <c r="B60" i="8"/>
  <c r="F32" i="16"/>
  <c r="L3" i="16"/>
  <c r="D17" i="9"/>
  <c r="Q17" i="9"/>
  <c r="R17" i="9"/>
  <c r="D22" i="9"/>
  <c r="O22" i="9"/>
  <c r="Q22" i="9"/>
  <c r="P22" i="9"/>
  <c r="R22" i="9"/>
  <c r="D27" i="9"/>
  <c r="Q28" i="9"/>
  <c r="R28" i="9"/>
  <c r="S28" i="9"/>
  <c r="Q29" i="9"/>
  <c r="R29" i="9"/>
  <c r="S29" i="9"/>
  <c r="S31" i="9"/>
  <c r="S32" i="9"/>
  <c r="D56" i="9"/>
  <c r="P37" i="9"/>
  <c r="D37" i="9"/>
  <c r="R37" i="9"/>
  <c r="P39" i="9"/>
  <c r="R39" i="9"/>
  <c r="D40" i="9"/>
  <c r="Q40" i="9"/>
  <c r="P40" i="9"/>
  <c r="R40" i="9"/>
  <c r="D43" i="9"/>
  <c r="Q43" i="9"/>
  <c r="R43" i="9"/>
  <c r="Q50" i="9"/>
  <c r="S55" i="9"/>
  <c r="P63" i="9"/>
  <c r="R63" i="9"/>
  <c r="Q64" i="9"/>
  <c r="R64" i="9"/>
  <c r="O65" i="9"/>
  <c r="Q65" i="9"/>
  <c r="P65" i="9"/>
  <c r="R65" i="9"/>
  <c r="Q66" i="9"/>
  <c r="R66" i="9"/>
  <c r="P69" i="9"/>
  <c r="R69" i="9"/>
  <c r="Q70" i="9"/>
  <c r="R70" i="9"/>
  <c r="O71" i="9"/>
  <c r="Q71" i="9"/>
  <c r="P71" i="9"/>
  <c r="R71" i="9"/>
  <c r="Q72" i="9"/>
  <c r="R72" i="9"/>
  <c r="P76" i="9"/>
  <c r="R76" i="9"/>
  <c r="O77" i="9"/>
  <c r="Q77" i="9"/>
  <c r="P77" i="9"/>
  <c r="R77" i="9"/>
  <c r="P78" i="9"/>
  <c r="R78" i="9"/>
  <c r="O79" i="9"/>
  <c r="Q79" i="9"/>
  <c r="P79" i="9"/>
  <c r="R79" i="9"/>
  <c r="P81" i="9"/>
  <c r="R81" i="9"/>
  <c r="Q82" i="9"/>
  <c r="R82" i="9"/>
  <c r="O83" i="9"/>
  <c r="Q83" i="9"/>
  <c r="P83" i="9"/>
  <c r="R83" i="9"/>
  <c r="Q19" i="9"/>
  <c r="R19" i="9"/>
  <c r="S19" i="9"/>
  <c r="Q21" i="9"/>
  <c r="R21" i="9"/>
  <c r="Q25" i="9"/>
  <c r="R25" i="9"/>
  <c r="Q26" i="9"/>
  <c r="R26" i="9"/>
  <c r="Q32" i="9"/>
  <c r="R32" i="9"/>
  <c r="Q36" i="9"/>
  <c r="R36" i="9"/>
  <c r="Q39" i="9"/>
  <c r="Q41" i="9"/>
  <c r="R41" i="9"/>
  <c r="Q42" i="9"/>
  <c r="R42" i="9"/>
  <c r="D35" i="9"/>
  <c r="Q35" i="9"/>
  <c r="P35" i="9"/>
  <c r="R35" i="9"/>
  <c r="Q37" i="9"/>
  <c r="Q48" i="9"/>
  <c r="R48" i="9"/>
  <c r="Q49" i="9"/>
  <c r="R49" i="9"/>
  <c r="R50" i="9"/>
  <c r="Q51" i="9"/>
  <c r="R51" i="9"/>
  <c r="Q52" i="9"/>
  <c r="R52" i="9"/>
  <c r="Q53" i="9"/>
  <c r="R53" i="9"/>
  <c r="Q54" i="9"/>
  <c r="R54" i="9"/>
  <c r="Q55" i="9"/>
  <c r="R55" i="9"/>
  <c r="Q56" i="9"/>
  <c r="R56" i="9"/>
  <c r="Q63" i="9"/>
  <c r="Q69" i="9"/>
  <c r="Q76" i="9"/>
  <c r="Q78" i="9"/>
  <c r="Q81" i="9"/>
  <c r="S13" i="9"/>
  <c r="T35" i="9"/>
  <c r="T37" i="9"/>
  <c r="T39" i="9"/>
  <c r="T40" i="9"/>
  <c r="T34" i="9"/>
  <c r="T48" i="9"/>
  <c r="T51" i="9"/>
  <c r="T52" i="9"/>
  <c r="T54" i="9"/>
  <c r="T55" i="9"/>
  <c r="T56" i="9"/>
  <c r="T49" i="9"/>
  <c r="T50" i="9"/>
  <c r="T53" i="9"/>
  <c r="T47" i="9"/>
  <c r="T63" i="9"/>
  <c r="T64" i="9"/>
  <c r="T66" i="9"/>
  <c r="T65" i="9"/>
  <c r="T62" i="9"/>
  <c r="T76" i="9"/>
  <c r="T78" i="9"/>
  <c r="T81" i="9"/>
  <c r="T77" i="9"/>
  <c r="T79" i="9"/>
  <c r="T82" i="9"/>
  <c r="T83" i="9"/>
  <c r="T74" i="9"/>
  <c r="T69" i="9"/>
  <c r="T70" i="9"/>
  <c r="T72" i="9"/>
  <c r="T71" i="9"/>
  <c r="T68" i="9"/>
  <c r="T17" i="9"/>
  <c r="T22" i="9"/>
  <c r="T16" i="9"/>
  <c r="T13" i="9"/>
  <c r="C13" i="9"/>
  <c r="C12" i="16"/>
  <c r="D12" i="8"/>
  <c r="D98" i="9"/>
  <c r="D99" i="9"/>
  <c r="D101" i="9"/>
  <c r="D100" i="9"/>
  <c r="D86" i="9"/>
  <c r="D87" i="9"/>
  <c r="D90" i="9"/>
  <c r="D88" i="9"/>
  <c r="D91" i="9"/>
  <c r="D89" i="9"/>
  <c r="D92" i="9"/>
  <c r="D102" i="9"/>
  <c r="D103" i="9"/>
  <c r="F103" i="9"/>
  <c r="F104" i="9"/>
  <c r="F105" i="9"/>
  <c r="D104" i="9"/>
  <c r="D105" i="9"/>
  <c r="T42" i="9"/>
  <c r="T43" i="9"/>
  <c r="G32" i="6"/>
  <c r="G26" i="6"/>
  <c r="G20" i="6"/>
  <c r="G14" i="6"/>
  <c r="F98" i="9"/>
  <c r="F99" i="9"/>
  <c r="G16" i="8"/>
  <c r="T19" i="9"/>
  <c r="D58" i="9"/>
  <c r="D59" i="9"/>
  <c r="D60" i="9"/>
  <c r="D29" i="16"/>
  <c r="D28" i="16"/>
  <c r="I55" i="9"/>
  <c r="F26" i="8"/>
  <c r="GA24" i="15"/>
  <c r="FZ24" i="15"/>
  <c r="FY24" i="15"/>
  <c r="FX24" i="15"/>
  <c r="FW24" i="15"/>
  <c r="FV24" i="15"/>
  <c r="FU24" i="15"/>
  <c r="FT24" i="15"/>
  <c r="FS24" i="15"/>
  <c r="FR24" i="15"/>
  <c r="FQ24" i="15"/>
  <c r="FP24" i="15"/>
  <c r="FO24" i="15"/>
  <c r="FN24" i="15"/>
  <c r="FM24" i="15"/>
  <c r="FL24" i="15"/>
  <c r="FK24" i="15"/>
  <c r="FJ24" i="15"/>
  <c r="FI24" i="15"/>
  <c r="FH24" i="15"/>
  <c r="FG24" i="15"/>
  <c r="FF24" i="15"/>
  <c r="FE24" i="15"/>
  <c r="FD24" i="15"/>
  <c r="FC24" i="15"/>
  <c r="FB24" i="15"/>
  <c r="FA24" i="15"/>
  <c r="EZ24" i="15"/>
  <c r="EY24" i="15"/>
  <c r="EX24" i="15"/>
  <c r="EW24" i="15"/>
  <c r="EV24" i="15"/>
  <c r="EU24" i="15"/>
  <c r="ET24" i="15"/>
  <c r="ES24" i="15"/>
  <c r="ER24" i="15"/>
  <c r="EQ24" i="15"/>
  <c r="EP24" i="15"/>
  <c r="EO24" i="15"/>
  <c r="EN24" i="15"/>
  <c r="EM24" i="15"/>
  <c r="EL24" i="15"/>
  <c r="EK24" i="15"/>
  <c r="EJ24" i="15"/>
  <c r="EI24" i="15"/>
  <c r="EH24" i="15"/>
  <c r="EG24" i="15"/>
  <c r="EF24" i="15"/>
  <c r="EE24" i="15"/>
  <c r="ED24" i="15"/>
  <c r="EC24" i="15"/>
  <c r="EB24" i="15"/>
  <c r="EA24" i="15"/>
  <c r="DZ24" i="15"/>
  <c r="DY24" i="15"/>
  <c r="DX24" i="15"/>
  <c r="DW24" i="15"/>
  <c r="DV24" i="15"/>
  <c r="DU24" i="15"/>
  <c r="DT24" i="15"/>
  <c r="DS24" i="15"/>
  <c r="DR24" i="15"/>
  <c r="DQ24" i="15"/>
  <c r="DP24" i="15"/>
  <c r="DO24" i="15"/>
  <c r="DN24" i="15"/>
  <c r="DM24" i="15"/>
  <c r="DL24" i="15"/>
  <c r="DK24" i="15"/>
  <c r="DJ24" i="15"/>
  <c r="DI24" i="15"/>
  <c r="DH24" i="15"/>
  <c r="DG24" i="15"/>
  <c r="DF24" i="15"/>
  <c r="DE24" i="15"/>
  <c r="DD24" i="15"/>
  <c r="DC24" i="15"/>
  <c r="DB24" i="15"/>
  <c r="DA24" i="15"/>
  <c r="CZ24" i="15"/>
  <c r="CY24" i="15"/>
  <c r="CX24" i="15"/>
  <c r="CW24" i="15"/>
  <c r="CV24" i="15"/>
  <c r="CU24" i="15"/>
  <c r="CT24" i="15"/>
  <c r="CS24" i="15"/>
  <c r="CR24" i="15"/>
  <c r="CQ24" i="15"/>
  <c r="CP24" i="15"/>
  <c r="CO24" i="15"/>
  <c r="CN24" i="15"/>
  <c r="CM24" i="15"/>
  <c r="CL24" i="15"/>
  <c r="CK24" i="15"/>
  <c r="CJ24" i="15"/>
  <c r="CI24" i="15"/>
  <c r="CH24" i="15"/>
  <c r="CG24" i="15"/>
  <c r="CF24" i="15"/>
  <c r="CE24" i="15"/>
  <c r="CD24" i="15"/>
  <c r="CC24" i="15"/>
  <c r="CB24" i="15"/>
  <c r="CA24" i="15"/>
  <c r="BZ24" i="15"/>
  <c r="BY24" i="15"/>
  <c r="BX24" i="15"/>
  <c r="BW24" i="15"/>
  <c r="BV24" i="15"/>
  <c r="BU24" i="15"/>
  <c r="BT24" i="15"/>
  <c r="BS24" i="15"/>
  <c r="BR24" i="15"/>
  <c r="BQ24" i="15"/>
  <c r="BP24" i="15"/>
  <c r="BO24" i="15"/>
  <c r="BN24" i="15"/>
  <c r="BM24" i="15"/>
  <c r="BL24" i="15"/>
  <c r="BK24" i="15"/>
  <c r="BJ24" i="15"/>
  <c r="BI24" i="15"/>
  <c r="BH24" i="15"/>
  <c r="BG24" i="15"/>
  <c r="BF24" i="15"/>
  <c r="BE24" i="15"/>
  <c r="BD24" i="15"/>
  <c r="BC24" i="15"/>
  <c r="BB24" i="15"/>
  <c r="BA24" i="15"/>
  <c r="AZ24" i="15"/>
  <c r="AY24" i="15"/>
  <c r="AX24" i="15"/>
  <c r="AW24" i="15"/>
  <c r="AV24" i="15"/>
  <c r="AU24" i="15"/>
  <c r="AT24" i="15"/>
  <c r="AS24" i="15"/>
  <c r="AR24" i="15"/>
  <c r="AQ24" i="15"/>
  <c r="AP24" i="15"/>
  <c r="AO24" i="15"/>
  <c r="AN24" i="15"/>
  <c r="AM24" i="15"/>
  <c r="AL24" i="15"/>
  <c r="AK24" i="15"/>
  <c r="AJ24" i="15"/>
  <c r="AI24" i="15"/>
  <c r="AH24" i="15"/>
  <c r="AG24" i="15"/>
  <c r="AF24" i="15"/>
  <c r="AE24" i="15"/>
  <c r="AD24" i="15"/>
  <c r="AC24" i="15"/>
  <c r="AB24" i="15"/>
  <c r="AA24" i="15"/>
  <c r="Z24" i="15"/>
  <c r="Y24" i="15"/>
  <c r="X24" i="15"/>
  <c r="W24" i="15"/>
  <c r="V24" i="15"/>
  <c r="U24" i="15"/>
  <c r="T24" i="15"/>
  <c r="S24" i="15"/>
  <c r="R24" i="15"/>
  <c r="Q24" i="15"/>
  <c r="P24" i="15"/>
  <c r="O24" i="15"/>
  <c r="N24" i="15"/>
  <c r="M24" i="15"/>
  <c r="L24" i="15"/>
  <c r="K24" i="15"/>
  <c r="J24" i="15"/>
  <c r="E38" i="15"/>
  <c r="E37" i="15"/>
  <c r="E36" i="15"/>
  <c r="E35" i="15"/>
  <c r="K3" i="16"/>
  <c r="K22" i="16"/>
  <c r="B38" i="15"/>
  <c r="B37" i="15"/>
  <c r="B36" i="15"/>
  <c r="B35" i="15"/>
  <c r="G24" i="15"/>
  <c r="F24" i="15"/>
  <c r="H24" i="15"/>
  <c r="I24" i="15"/>
  <c r="E24" i="15"/>
  <c r="D24" i="15"/>
  <c r="GA29" i="15"/>
  <c r="FZ29" i="15"/>
  <c r="FY29" i="15"/>
  <c r="FX29" i="15"/>
  <c r="FW29" i="15"/>
  <c r="FV29" i="15"/>
  <c r="FU29" i="15"/>
  <c r="FT29" i="15"/>
  <c r="FS29" i="15"/>
  <c r="FR29" i="15"/>
  <c r="FQ29" i="15"/>
  <c r="FP29" i="15"/>
  <c r="FO29" i="15"/>
  <c r="FN29" i="15"/>
  <c r="FM29" i="15"/>
  <c r="FL29" i="15"/>
  <c r="FK29" i="15"/>
  <c r="FJ29" i="15"/>
  <c r="FI29" i="15"/>
  <c r="FH29" i="15"/>
  <c r="FG29" i="15"/>
  <c r="FF29" i="15"/>
  <c r="FE29" i="15"/>
  <c r="FD29" i="15"/>
  <c r="FC29" i="15"/>
  <c r="FB29" i="15"/>
  <c r="FA29" i="15"/>
  <c r="EZ29" i="15"/>
  <c r="EY29" i="15"/>
  <c r="EX29" i="15"/>
  <c r="EW29" i="15"/>
  <c r="EV29" i="15"/>
  <c r="EU29" i="15"/>
  <c r="ET29" i="15"/>
  <c r="ES29" i="15"/>
  <c r="ER29" i="15"/>
  <c r="EQ29" i="15"/>
  <c r="EP29" i="15"/>
  <c r="EO29" i="15"/>
  <c r="EN29" i="15"/>
  <c r="EM29" i="15"/>
  <c r="EL29" i="15"/>
  <c r="EK29" i="15"/>
  <c r="EJ29" i="15"/>
  <c r="EI29" i="15"/>
  <c r="EH29" i="15"/>
  <c r="EG29" i="15"/>
  <c r="EF29" i="15"/>
  <c r="EE29" i="15"/>
  <c r="ED29" i="15"/>
  <c r="EC29" i="15"/>
  <c r="EB29" i="15"/>
  <c r="EA29" i="15"/>
  <c r="DZ29" i="15"/>
  <c r="DY29" i="15"/>
  <c r="DX29" i="15"/>
  <c r="DW29" i="15"/>
  <c r="DV29" i="15"/>
  <c r="DU29" i="15"/>
  <c r="DT29" i="15"/>
  <c r="DS29" i="15"/>
  <c r="DR29" i="15"/>
  <c r="DQ29" i="15"/>
  <c r="DP29" i="15"/>
  <c r="DO29" i="15"/>
  <c r="DN29" i="15"/>
  <c r="DM29" i="15"/>
  <c r="DL29" i="15"/>
  <c r="DK29" i="15"/>
  <c r="DJ29" i="15"/>
  <c r="DI29" i="15"/>
  <c r="DH29" i="15"/>
  <c r="DG29" i="15"/>
  <c r="DF29" i="15"/>
  <c r="DE29" i="15"/>
  <c r="DD29" i="15"/>
  <c r="DC29" i="15"/>
  <c r="DB29" i="15"/>
  <c r="DA29" i="15"/>
  <c r="CZ29" i="15"/>
  <c r="CY29" i="15"/>
  <c r="CX29" i="15"/>
  <c r="CW29" i="15"/>
  <c r="CV29" i="15"/>
  <c r="CU29" i="15"/>
  <c r="CT29" i="15"/>
  <c r="CS29" i="15"/>
  <c r="CR29" i="15"/>
  <c r="CQ29" i="15"/>
  <c r="CP29" i="15"/>
  <c r="CO29" i="15"/>
  <c r="CN29" i="15"/>
  <c r="CM29" i="15"/>
  <c r="CL29" i="15"/>
  <c r="CK29" i="15"/>
  <c r="CJ29" i="15"/>
  <c r="CI29" i="15"/>
  <c r="CH29" i="15"/>
  <c r="CG29" i="15"/>
  <c r="CF29" i="15"/>
  <c r="CE29" i="15"/>
  <c r="CD29" i="15"/>
  <c r="CC29" i="15"/>
  <c r="CB29" i="15"/>
  <c r="CA29" i="15"/>
  <c r="BZ29" i="15"/>
  <c r="BY29" i="15"/>
  <c r="BX29" i="15"/>
  <c r="BW29" i="15"/>
  <c r="BV29" i="15"/>
  <c r="BU29" i="15"/>
  <c r="BT29" i="15"/>
  <c r="BS29" i="15"/>
  <c r="BR29" i="15"/>
  <c r="BQ29" i="15"/>
  <c r="BP29" i="15"/>
  <c r="BO29" i="15"/>
  <c r="BN29" i="15"/>
  <c r="BM29" i="15"/>
  <c r="BL29" i="15"/>
  <c r="BK29" i="15"/>
  <c r="BJ29" i="15"/>
  <c r="BI29" i="15"/>
  <c r="BH29" i="15"/>
  <c r="BG29" i="15"/>
  <c r="BF29" i="15"/>
  <c r="BE29" i="15"/>
  <c r="BD29" i="15"/>
  <c r="BC29" i="15"/>
  <c r="BB29" i="15"/>
  <c r="BA29" i="15"/>
  <c r="AZ29" i="15"/>
  <c r="AY29" i="15"/>
  <c r="AX29" i="15"/>
  <c r="AW29" i="15"/>
  <c r="AV29" i="15"/>
  <c r="AU29" i="15"/>
  <c r="AT29" i="15"/>
  <c r="AS29" i="15"/>
  <c r="AR29" i="15"/>
  <c r="AQ29" i="15"/>
  <c r="AP29" i="15"/>
  <c r="AO29" i="15"/>
  <c r="AN29" i="15"/>
  <c r="AM29" i="15"/>
  <c r="AL29" i="15"/>
  <c r="AK29" i="15"/>
  <c r="AJ29" i="15"/>
  <c r="AI29" i="15"/>
  <c r="AH29" i="15"/>
  <c r="AG29" i="15"/>
  <c r="AF29" i="15"/>
  <c r="AE29" i="15"/>
  <c r="AD29" i="15"/>
  <c r="AC29" i="15"/>
  <c r="AB29" i="15"/>
  <c r="AA29" i="15"/>
  <c r="Z29" i="15"/>
  <c r="Y29" i="15"/>
  <c r="X29" i="15"/>
  <c r="W29" i="15"/>
  <c r="V29" i="15"/>
  <c r="U29" i="15"/>
  <c r="T29" i="15"/>
  <c r="S29" i="15"/>
  <c r="R29" i="15"/>
  <c r="Q29" i="15"/>
  <c r="P29" i="15"/>
  <c r="O29" i="15"/>
  <c r="N29" i="15"/>
  <c r="M29" i="15"/>
  <c r="L29" i="15"/>
  <c r="K29" i="15"/>
  <c r="GA28" i="15"/>
  <c r="FZ28" i="15"/>
  <c r="FY28" i="15"/>
  <c r="FX28" i="15"/>
  <c r="FW28" i="15"/>
  <c r="FV28" i="15"/>
  <c r="FU28" i="15"/>
  <c r="FT28" i="15"/>
  <c r="FS28" i="15"/>
  <c r="FR28" i="15"/>
  <c r="FQ28" i="15"/>
  <c r="FP28" i="15"/>
  <c r="FO28" i="15"/>
  <c r="FN28" i="15"/>
  <c r="FM28" i="15"/>
  <c r="FL28" i="15"/>
  <c r="FK28" i="15"/>
  <c r="FJ28" i="15"/>
  <c r="FI28" i="15"/>
  <c r="FH28" i="15"/>
  <c r="FG28" i="15"/>
  <c r="FF28" i="15"/>
  <c r="FE28" i="15"/>
  <c r="FD28" i="15"/>
  <c r="FC28" i="15"/>
  <c r="FB28" i="15"/>
  <c r="FA28" i="15"/>
  <c r="EZ28" i="15"/>
  <c r="EY28" i="15"/>
  <c r="EX28" i="15"/>
  <c r="EW28" i="15"/>
  <c r="EV28" i="15"/>
  <c r="EU28" i="15"/>
  <c r="ET28" i="15"/>
  <c r="ES28" i="15"/>
  <c r="ER28" i="15"/>
  <c r="EQ28" i="15"/>
  <c r="EP28" i="15"/>
  <c r="EO28" i="15"/>
  <c r="EN28" i="15"/>
  <c r="EM28" i="15"/>
  <c r="EL28" i="15"/>
  <c r="EK28" i="15"/>
  <c r="EJ28" i="15"/>
  <c r="EI28" i="15"/>
  <c r="EH28" i="15"/>
  <c r="EG28" i="15"/>
  <c r="EF28" i="15"/>
  <c r="EE28" i="15"/>
  <c r="ED28" i="15"/>
  <c r="EC28" i="15"/>
  <c r="EB28" i="15"/>
  <c r="EA28" i="15"/>
  <c r="DZ28" i="15"/>
  <c r="DY28" i="15"/>
  <c r="DX28" i="15"/>
  <c r="DW28" i="15"/>
  <c r="DV28" i="15"/>
  <c r="DU28" i="15"/>
  <c r="DT28" i="15"/>
  <c r="DS28" i="15"/>
  <c r="DR28" i="15"/>
  <c r="DQ28" i="15"/>
  <c r="DP28" i="15"/>
  <c r="DO28" i="15"/>
  <c r="DN28" i="15"/>
  <c r="DM28" i="15"/>
  <c r="DL28" i="15"/>
  <c r="DK28" i="15"/>
  <c r="DJ28" i="15"/>
  <c r="DI28" i="15"/>
  <c r="DH28" i="15"/>
  <c r="DG28" i="15"/>
  <c r="DF28" i="15"/>
  <c r="DE28" i="15"/>
  <c r="DD28" i="15"/>
  <c r="DC28" i="15"/>
  <c r="DB28" i="15"/>
  <c r="DA28" i="15"/>
  <c r="CZ28" i="15"/>
  <c r="CY28" i="15"/>
  <c r="CX28" i="15"/>
  <c r="CW28" i="15"/>
  <c r="CV28" i="15"/>
  <c r="CU28" i="15"/>
  <c r="CT28" i="15"/>
  <c r="CS28" i="15"/>
  <c r="CR28" i="15"/>
  <c r="CQ28" i="15"/>
  <c r="CP28" i="15"/>
  <c r="CO28" i="15"/>
  <c r="CN28" i="15"/>
  <c r="CM28" i="15"/>
  <c r="CL28" i="15"/>
  <c r="CK28" i="15"/>
  <c r="CJ28" i="15"/>
  <c r="CI28" i="15"/>
  <c r="CH28" i="15"/>
  <c r="CG28" i="15"/>
  <c r="CF28" i="15"/>
  <c r="CE28" i="15"/>
  <c r="CD28" i="15"/>
  <c r="CC28" i="15"/>
  <c r="CB28" i="15"/>
  <c r="CA28" i="15"/>
  <c r="BZ28" i="15"/>
  <c r="BY28" i="15"/>
  <c r="BX28" i="15"/>
  <c r="BW28" i="15"/>
  <c r="BV28" i="15"/>
  <c r="BU28" i="15"/>
  <c r="BT28" i="15"/>
  <c r="BS28" i="15"/>
  <c r="BR28" i="15"/>
  <c r="BQ28" i="15"/>
  <c r="BP28" i="15"/>
  <c r="BO28" i="15"/>
  <c r="BN28" i="15"/>
  <c r="BM28" i="15"/>
  <c r="BL28" i="15"/>
  <c r="BK28" i="15"/>
  <c r="BJ28" i="15"/>
  <c r="BI28" i="15"/>
  <c r="BH28" i="15"/>
  <c r="BG28" i="15"/>
  <c r="BF28" i="15"/>
  <c r="BE28" i="15"/>
  <c r="BD28" i="15"/>
  <c r="BC28" i="15"/>
  <c r="BB28" i="15"/>
  <c r="BA28" i="15"/>
  <c r="AZ28" i="15"/>
  <c r="AY28" i="15"/>
  <c r="AX28" i="15"/>
  <c r="AW28" i="15"/>
  <c r="AV28" i="15"/>
  <c r="AU28" i="15"/>
  <c r="AT28" i="15"/>
  <c r="AS28" i="15"/>
  <c r="AR28" i="15"/>
  <c r="AQ28" i="15"/>
  <c r="AP28" i="15"/>
  <c r="AO28" i="15"/>
  <c r="AN28" i="15"/>
  <c r="AM28" i="15"/>
  <c r="AL28" i="15"/>
  <c r="AK28" i="15"/>
  <c r="AJ28" i="15"/>
  <c r="AI28" i="15"/>
  <c r="AH28" i="15"/>
  <c r="AG28" i="15"/>
  <c r="AF28" i="15"/>
  <c r="AE28" i="15"/>
  <c r="AD28" i="15"/>
  <c r="AC28" i="15"/>
  <c r="AB28" i="15"/>
  <c r="AA28" i="15"/>
  <c r="Z28" i="15"/>
  <c r="Y28" i="15"/>
  <c r="X28" i="15"/>
  <c r="W28" i="15"/>
  <c r="V28" i="15"/>
  <c r="U28" i="15"/>
  <c r="T28" i="15"/>
  <c r="S28" i="15"/>
  <c r="R28" i="15"/>
  <c r="Q28" i="15"/>
  <c r="P28" i="15"/>
  <c r="O28" i="15"/>
  <c r="N28" i="15"/>
  <c r="M28" i="15"/>
  <c r="L28" i="15"/>
  <c r="K28" i="15"/>
  <c r="GA27" i="15"/>
  <c r="FZ27" i="15"/>
  <c r="FY27" i="15"/>
  <c r="FX27" i="15"/>
  <c r="FW27" i="15"/>
  <c r="FV27" i="15"/>
  <c r="FU27" i="15"/>
  <c r="FT27" i="15"/>
  <c r="FS27" i="15"/>
  <c r="FR27" i="15"/>
  <c r="FQ27" i="15"/>
  <c r="FP27" i="15"/>
  <c r="FO27" i="15"/>
  <c r="FN27" i="15"/>
  <c r="FM27" i="15"/>
  <c r="FL27" i="15"/>
  <c r="FK27" i="15"/>
  <c r="FJ27" i="15"/>
  <c r="FI27" i="15"/>
  <c r="FH27" i="15"/>
  <c r="FG27" i="15"/>
  <c r="FF27" i="15"/>
  <c r="FE27" i="15"/>
  <c r="FD27" i="15"/>
  <c r="FC27" i="15"/>
  <c r="FB27" i="15"/>
  <c r="FA27" i="15"/>
  <c r="EZ27" i="15"/>
  <c r="EY27" i="15"/>
  <c r="EX27" i="15"/>
  <c r="EW27" i="15"/>
  <c r="EV27" i="15"/>
  <c r="EU27" i="15"/>
  <c r="ET27" i="15"/>
  <c r="ES27" i="15"/>
  <c r="ER27" i="15"/>
  <c r="EQ27" i="15"/>
  <c r="EP27" i="15"/>
  <c r="EO27" i="15"/>
  <c r="EN27" i="15"/>
  <c r="EM27" i="15"/>
  <c r="EL27" i="15"/>
  <c r="EK27" i="15"/>
  <c r="EJ27" i="15"/>
  <c r="EI27" i="15"/>
  <c r="EH27" i="15"/>
  <c r="EG27" i="15"/>
  <c r="EF27" i="15"/>
  <c r="EE27" i="15"/>
  <c r="ED27" i="15"/>
  <c r="EC27" i="15"/>
  <c r="EB27" i="15"/>
  <c r="EA27" i="15"/>
  <c r="DZ27" i="15"/>
  <c r="DY27" i="15"/>
  <c r="DX27" i="15"/>
  <c r="DW27" i="15"/>
  <c r="DV27" i="15"/>
  <c r="DU27" i="15"/>
  <c r="DT27" i="15"/>
  <c r="DS27" i="15"/>
  <c r="DR27" i="15"/>
  <c r="DQ27" i="15"/>
  <c r="DP27" i="15"/>
  <c r="DO27" i="15"/>
  <c r="DN27" i="15"/>
  <c r="DM27" i="15"/>
  <c r="DL27" i="15"/>
  <c r="DK27" i="15"/>
  <c r="DJ27" i="15"/>
  <c r="DI27" i="15"/>
  <c r="DH27" i="15"/>
  <c r="DG27" i="15"/>
  <c r="DF27" i="15"/>
  <c r="DE27" i="15"/>
  <c r="DD27" i="15"/>
  <c r="DC27" i="15"/>
  <c r="DB27" i="15"/>
  <c r="DA27" i="15"/>
  <c r="CZ27" i="15"/>
  <c r="CY27" i="15"/>
  <c r="CX27" i="15"/>
  <c r="CW27" i="15"/>
  <c r="CV27" i="15"/>
  <c r="CU27" i="15"/>
  <c r="CT27" i="15"/>
  <c r="CS27" i="15"/>
  <c r="CR27" i="15"/>
  <c r="CQ27" i="15"/>
  <c r="CP27" i="15"/>
  <c r="CO27" i="15"/>
  <c r="CN27" i="15"/>
  <c r="CM27" i="15"/>
  <c r="CL27" i="15"/>
  <c r="CK27" i="15"/>
  <c r="CJ27" i="15"/>
  <c r="CI27" i="15"/>
  <c r="CH27" i="15"/>
  <c r="CG27" i="15"/>
  <c r="CF27" i="15"/>
  <c r="CE27" i="15"/>
  <c r="CD27" i="15"/>
  <c r="CC27" i="15"/>
  <c r="CB27" i="15"/>
  <c r="CA27" i="15"/>
  <c r="BZ27" i="15"/>
  <c r="BY27" i="15"/>
  <c r="BX27" i="15"/>
  <c r="BW27" i="15"/>
  <c r="BV27" i="15"/>
  <c r="BU27" i="15"/>
  <c r="BT27" i="15"/>
  <c r="BS27" i="15"/>
  <c r="BR27" i="15"/>
  <c r="BQ27" i="15"/>
  <c r="BP27" i="15"/>
  <c r="BO27" i="15"/>
  <c r="BN27" i="15"/>
  <c r="BM27" i="15"/>
  <c r="BL27" i="15"/>
  <c r="BK27" i="15"/>
  <c r="BJ27" i="15"/>
  <c r="BI27" i="15"/>
  <c r="BH27" i="15"/>
  <c r="BG27" i="15"/>
  <c r="BF27" i="15"/>
  <c r="BE27" i="15"/>
  <c r="BD27" i="15"/>
  <c r="BC27" i="15"/>
  <c r="BB27" i="15"/>
  <c r="BA27" i="15"/>
  <c r="AZ27" i="15"/>
  <c r="AY27" i="15"/>
  <c r="AX27" i="15"/>
  <c r="AW27" i="15"/>
  <c r="AV27" i="15"/>
  <c r="AU27" i="15"/>
  <c r="AT27" i="15"/>
  <c r="AS27" i="15"/>
  <c r="AR27" i="15"/>
  <c r="AQ27" i="15"/>
  <c r="AP27" i="15"/>
  <c r="AO27" i="15"/>
  <c r="AN27" i="15"/>
  <c r="AM27" i="15"/>
  <c r="AL27" i="15"/>
  <c r="AK27" i="15"/>
  <c r="AJ27" i="15"/>
  <c r="AI27" i="15"/>
  <c r="AH27" i="15"/>
  <c r="AG27" i="15"/>
  <c r="AF27" i="15"/>
  <c r="AE27" i="15"/>
  <c r="AD27" i="15"/>
  <c r="AC27" i="15"/>
  <c r="AB27" i="15"/>
  <c r="AA27" i="15"/>
  <c r="Z27" i="15"/>
  <c r="Y27" i="15"/>
  <c r="X27" i="15"/>
  <c r="W27" i="15"/>
  <c r="V27" i="15"/>
  <c r="U27" i="15"/>
  <c r="T27" i="15"/>
  <c r="S27" i="15"/>
  <c r="R27" i="15"/>
  <c r="Q27" i="15"/>
  <c r="P27" i="15"/>
  <c r="O27" i="15"/>
  <c r="N27" i="15"/>
  <c r="M27" i="15"/>
  <c r="L27" i="15"/>
  <c r="K27" i="15"/>
  <c r="GA26" i="15"/>
  <c r="FZ26" i="15"/>
  <c r="FY26" i="15"/>
  <c r="FX26" i="15"/>
  <c r="FW26" i="15"/>
  <c r="FV26" i="15"/>
  <c r="FU26" i="15"/>
  <c r="FT26" i="15"/>
  <c r="FS26" i="15"/>
  <c r="FR26" i="15"/>
  <c r="FQ26" i="15"/>
  <c r="FP26" i="15"/>
  <c r="FO26" i="15"/>
  <c r="FN26" i="15"/>
  <c r="FM26" i="15"/>
  <c r="FL26" i="15"/>
  <c r="FK26" i="15"/>
  <c r="FJ26" i="15"/>
  <c r="FI26" i="15"/>
  <c r="FH26" i="15"/>
  <c r="FG26" i="15"/>
  <c r="FF26" i="15"/>
  <c r="FE26" i="15"/>
  <c r="FD26" i="15"/>
  <c r="FC26" i="15"/>
  <c r="FB26" i="15"/>
  <c r="FA26" i="15"/>
  <c r="EZ26" i="15"/>
  <c r="EY26" i="15"/>
  <c r="EX26" i="15"/>
  <c r="EW26" i="15"/>
  <c r="EV26" i="15"/>
  <c r="EU26" i="15"/>
  <c r="ET26" i="15"/>
  <c r="ES26" i="15"/>
  <c r="ER26" i="15"/>
  <c r="EQ26" i="15"/>
  <c r="EP26" i="15"/>
  <c r="EO26" i="15"/>
  <c r="EN26" i="15"/>
  <c r="EM26" i="15"/>
  <c r="EL26" i="15"/>
  <c r="EK26" i="15"/>
  <c r="EJ26" i="15"/>
  <c r="EI26" i="15"/>
  <c r="EH26" i="15"/>
  <c r="EG26" i="15"/>
  <c r="EF26" i="15"/>
  <c r="EE26" i="15"/>
  <c r="ED26" i="15"/>
  <c r="EC26" i="15"/>
  <c r="EB26" i="15"/>
  <c r="EA26" i="15"/>
  <c r="DZ26" i="15"/>
  <c r="DY26" i="15"/>
  <c r="DX26" i="15"/>
  <c r="DW26" i="15"/>
  <c r="DV26" i="15"/>
  <c r="DU26" i="15"/>
  <c r="DT26" i="15"/>
  <c r="DS26" i="15"/>
  <c r="DR26" i="15"/>
  <c r="DQ26" i="15"/>
  <c r="DP26" i="15"/>
  <c r="DO26" i="15"/>
  <c r="DN26" i="15"/>
  <c r="DM26" i="15"/>
  <c r="DL26" i="15"/>
  <c r="DK26" i="15"/>
  <c r="DJ26" i="15"/>
  <c r="DI26" i="15"/>
  <c r="DH26" i="15"/>
  <c r="DG26" i="15"/>
  <c r="DF26" i="15"/>
  <c r="DE26" i="15"/>
  <c r="DD26" i="15"/>
  <c r="DC26" i="15"/>
  <c r="DB26" i="15"/>
  <c r="DA26" i="15"/>
  <c r="CZ26" i="15"/>
  <c r="CY26" i="15"/>
  <c r="CX26" i="15"/>
  <c r="CW26" i="15"/>
  <c r="CV26" i="15"/>
  <c r="CU26" i="15"/>
  <c r="CT26" i="15"/>
  <c r="CS26" i="15"/>
  <c r="CR26" i="15"/>
  <c r="CQ26" i="15"/>
  <c r="CP26" i="15"/>
  <c r="CO26" i="15"/>
  <c r="CN26" i="15"/>
  <c r="CM26" i="15"/>
  <c r="CL26" i="15"/>
  <c r="CK26" i="15"/>
  <c r="CJ26" i="15"/>
  <c r="CI26" i="15"/>
  <c r="CH26" i="15"/>
  <c r="CG26" i="15"/>
  <c r="CF26" i="15"/>
  <c r="CE26" i="15"/>
  <c r="CD26" i="15"/>
  <c r="CC26" i="15"/>
  <c r="CB26" i="15"/>
  <c r="CA26" i="15"/>
  <c r="BZ26" i="15"/>
  <c r="BY26" i="15"/>
  <c r="BX26" i="15"/>
  <c r="BW26" i="15"/>
  <c r="BV26" i="15"/>
  <c r="BU26" i="15"/>
  <c r="BT26" i="15"/>
  <c r="BS26" i="15"/>
  <c r="BR26" i="15"/>
  <c r="BQ26" i="15"/>
  <c r="BP26" i="15"/>
  <c r="BO26" i="15"/>
  <c r="BN26" i="15"/>
  <c r="BM26" i="15"/>
  <c r="BL26" i="15"/>
  <c r="BK26" i="15"/>
  <c r="BJ26" i="15"/>
  <c r="BI26" i="15"/>
  <c r="BH26" i="15"/>
  <c r="BG26" i="15"/>
  <c r="BF26" i="15"/>
  <c r="BE26" i="15"/>
  <c r="BD26" i="15"/>
  <c r="BC26" i="15"/>
  <c r="BB26" i="15"/>
  <c r="BA26" i="15"/>
  <c r="AZ26" i="15"/>
  <c r="AY26" i="15"/>
  <c r="AX26" i="15"/>
  <c r="AW26" i="15"/>
  <c r="AV26" i="15"/>
  <c r="AU26" i="15"/>
  <c r="AT26" i="15"/>
  <c r="AS26" i="15"/>
  <c r="AR26" i="15"/>
  <c r="AQ26" i="15"/>
  <c r="AP26" i="15"/>
  <c r="AO26" i="15"/>
  <c r="AN26" i="15"/>
  <c r="AM26" i="15"/>
  <c r="AL26" i="15"/>
  <c r="AK26" i="15"/>
  <c r="AJ26" i="15"/>
  <c r="AI26" i="15"/>
  <c r="AH26" i="15"/>
  <c r="AG26" i="15"/>
  <c r="AF26" i="15"/>
  <c r="AE26" i="15"/>
  <c r="AD26" i="15"/>
  <c r="AC26" i="15"/>
  <c r="AB26" i="15"/>
  <c r="AA26" i="15"/>
  <c r="Z26" i="15"/>
  <c r="Y26" i="15"/>
  <c r="X26" i="15"/>
  <c r="W26" i="15"/>
  <c r="V26" i="15"/>
  <c r="U26" i="15"/>
  <c r="T26" i="15"/>
  <c r="S26" i="15"/>
  <c r="R26" i="15"/>
  <c r="Q26" i="15"/>
  <c r="P26" i="15"/>
  <c r="O26" i="15"/>
  <c r="N26" i="15"/>
  <c r="M26" i="15"/>
  <c r="L26" i="15"/>
  <c r="K26" i="15"/>
  <c r="GA25" i="15"/>
  <c r="FZ25" i="15"/>
  <c r="FY25" i="15"/>
  <c r="FX25" i="15"/>
  <c r="FW25" i="15"/>
  <c r="FV25" i="15"/>
  <c r="FU25" i="15"/>
  <c r="FT25" i="15"/>
  <c r="FS25" i="15"/>
  <c r="FR25" i="15"/>
  <c r="FQ25" i="15"/>
  <c r="FP25" i="15"/>
  <c r="FO25" i="15"/>
  <c r="FN25" i="15"/>
  <c r="FM25" i="15"/>
  <c r="FL25" i="15"/>
  <c r="FK25" i="15"/>
  <c r="FJ25" i="15"/>
  <c r="FI25" i="15"/>
  <c r="FH25" i="15"/>
  <c r="FG25" i="15"/>
  <c r="FF25" i="15"/>
  <c r="FE25" i="15"/>
  <c r="FD25" i="15"/>
  <c r="FC25" i="15"/>
  <c r="FB25" i="15"/>
  <c r="FA25" i="15"/>
  <c r="EZ25" i="15"/>
  <c r="EY25" i="15"/>
  <c r="EX25" i="15"/>
  <c r="EW25" i="15"/>
  <c r="EV25" i="15"/>
  <c r="EU25" i="15"/>
  <c r="ET25" i="15"/>
  <c r="ES25" i="15"/>
  <c r="ER25" i="15"/>
  <c r="EQ25" i="15"/>
  <c r="EP25" i="15"/>
  <c r="EO25" i="15"/>
  <c r="EN25" i="15"/>
  <c r="EM25" i="15"/>
  <c r="EL25" i="15"/>
  <c r="EK25" i="15"/>
  <c r="EJ25" i="15"/>
  <c r="EI25" i="15"/>
  <c r="EH25" i="15"/>
  <c r="EG25" i="15"/>
  <c r="EF25" i="15"/>
  <c r="EE25" i="15"/>
  <c r="ED25" i="15"/>
  <c r="EC25" i="15"/>
  <c r="EB25" i="15"/>
  <c r="EA25" i="15"/>
  <c r="DZ25" i="15"/>
  <c r="DY25" i="15"/>
  <c r="DX25" i="15"/>
  <c r="DW25" i="15"/>
  <c r="DV25" i="15"/>
  <c r="DU25" i="15"/>
  <c r="DT25" i="15"/>
  <c r="DS25" i="15"/>
  <c r="DR25" i="15"/>
  <c r="DQ25" i="15"/>
  <c r="DP25" i="15"/>
  <c r="DO25" i="15"/>
  <c r="DN25" i="15"/>
  <c r="DM25" i="15"/>
  <c r="DL25" i="15"/>
  <c r="DK25" i="15"/>
  <c r="DJ25" i="15"/>
  <c r="DI25" i="15"/>
  <c r="DH25" i="15"/>
  <c r="DG25" i="15"/>
  <c r="DF25" i="15"/>
  <c r="DE25" i="15"/>
  <c r="DD25" i="15"/>
  <c r="DC25" i="15"/>
  <c r="DB25" i="15"/>
  <c r="DA25" i="15"/>
  <c r="CZ25" i="15"/>
  <c r="CY25" i="15"/>
  <c r="CX25" i="15"/>
  <c r="CW25" i="15"/>
  <c r="CV25" i="15"/>
  <c r="CU25" i="15"/>
  <c r="CT25" i="15"/>
  <c r="CS25" i="15"/>
  <c r="CR25" i="15"/>
  <c r="CQ25" i="15"/>
  <c r="CP25" i="15"/>
  <c r="CO25" i="15"/>
  <c r="CN25" i="15"/>
  <c r="CM25" i="15"/>
  <c r="CL25" i="15"/>
  <c r="CK25" i="15"/>
  <c r="CJ25" i="15"/>
  <c r="CI25" i="15"/>
  <c r="CH25" i="15"/>
  <c r="CG25" i="15"/>
  <c r="CF25" i="15"/>
  <c r="CE25" i="15"/>
  <c r="CD25" i="15"/>
  <c r="CC25" i="15"/>
  <c r="CB25" i="15"/>
  <c r="CA25" i="15"/>
  <c r="BZ25" i="15"/>
  <c r="BY25" i="15"/>
  <c r="BX25" i="15"/>
  <c r="BW25" i="15"/>
  <c r="BV25" i="15"/>
  <c r="BU25" i="15"/>
  <c r="BT25" i="15"/>
  <c r="BS25" i="15"/>
  <c r="BR25" i="15"/>
  <c r="BQ25" i="15"/>
  <c r="BP25" i="15"/>
  <c r="BO25" i="15"/>
  <c r="BN25" i="15"/>
  <c r="BM25" i="15"/>
  <c r="BL25" i="15"/>
  <c r="BK25" i="15"/>
  <c r="BJ25" i="15"/>
  <c r="BI25" i="15"/>
  <c r="BH25" i="15"/>
  <c r="BG25" i="15"/>
  <c r="BF25" i="15"/>
  <c r="BE25" i="15"/>
  <c r="BD25" i="15"/>
  <c r="BC25" i="15"/>
  <c r="BB25" i="15"/>
  <c r="BA25" i="15"/>
  <c r="AZ25" i="15"/>
  <c r="AY25" i="15"/>
  <c r="AX25" i="15"/>
  <c r="AW25" i="15"/>
  <c r="AV25" i="15"/>
  <c r="AU25" i="15"/>
  <c r="AT25" i="15"/>
  <c r="AS25" i="15"/>
  <c r="AR25" i="15"/>
  <c r="AQ25" i="15"/>
  <c r="AP25" i="15"/>
  <c r="AO25" i="15"/>
  <c r="AN25" i="15"/>
  <c r="AM25" i="15"/>
  <c r="AL25" i="15"/>
  <c r="AK25" i="15"/>
  <c r="AJ25" i="15"/>
  <c r="AI25" i="15"/>
  <c r="AH25" i="15"/>
  <c r="AG25" i="15"/>
  <c r="AF25" i="15"/>
  <c r="AE25" i="15"/>
  <c r="AD25" i="15"/>
  <c r="AC25" i="15"/>
  <c r="AB25" i="15"/>
  <c r="AA25" i="15"/>
  <c r="Z25" i="15"/>
  <c r="Y25" i="15"/>
  <c r="X25" i="15"/>
  <c r="W25" i="15"/>
  <c r="V25" i="15"/>
  <c r="U25" i="15"/>
  <c r="T25" i="15"/>
  <c r="S25" i="15"/>
  <c r="R25" i="15"/>
  <c r="Q25" i="15"/>
  <c r="P25" i="15"/>
  <c r="O25" i="15"/>
  <c r="N25" i="15"/>
  <c r="M25" i="15"/>
  <c r="L25" i="15"/>
  <c r="K25" i="15"/>
  <c r="J25" i="15"/>
  <c r="J27" i="15"/>
  <c r="F58" i="9"/>
  <c r="D25" i="16"/>
  <c r="D24" i="16"/>
  <c r="D23" i="16"/>
  <c r="D22" i="16"/>
  <c r="D18" i="16"/>
  <c r="D16" i="16"/>
  <c r="C10" i="16"/>
  <c r="C8" i="16"/>
  <c r="C7" i="16"/>
  <c r="C6" i="16"/>
  <c r="G20" i="8"/>
  <c r="G17" i="8"/>
  <c r="G19" i="8"/>
  <c r="F19" i="8"/>
  <c r="F20" i="8"/>
  <c r="F22" i="8"/>
  <c r="D10" i="8"/>
  <c r="D10" i="6"/>
  <c r="D95" i="9"/>
  <c r="F28" i="8"/>
  <c r="D40" i="14"/>
  <c r="D39" i="14"/>
  <c r="D38" i="14"/>
  <c r="D37" i="14"/>
  <c r="D36" i="14"/>
  <c r="D35" i="14"/>
  <c r="D34" i="14"/>
  <c r="D33" i="14"/>
  <c r="D32" i="14"/>
  <c r="D31" i="14"/>
  <c r="D30" i="14"/>
  <c r="D29" i="14"/>
  <c r="D28" i="14"/>
  <c r="D27" i="14"/>
  <c r="D26" i="14"/>
  <c r="D62" i="14"/>
  <c r="F22" i="14"/>
  <c r="E22" i="14"/>
  <c r="E39" i="14"/>
  <c r="C22" i="14"/>
  <c r="C39" i="14"/>
  <c r="F9" i="14"/>
  <c r="E9" i="14"/>
  <c r="E26" i="14"/>
  <c r="C9" i="14"/>
  <c r="B45" i="14"/>
  <c r="F23" i="14"/>
  <c r="F21" i="14"/>
  <c r="F20" i="14"/>
  <c r="F19" i="14"/>
  <c r="F18" i="14"/>
  <c r="F17" i="14"/>
  <c r="F16" i="14"/>
  <c r="F15" i="14"/>
  <c r="F14" i="14"/>
  <c r="F13" i="14"/>
  <c r="F12" i="14"/>
  <c r="F11" i="14"/>
  <c r="F10" i="14"/>
  <c r="E23" i="14"/>
  <c r="E40" i="14"/>
  <c r="E21" i="14"/>
  <c r="E38" i="14"/>
  <c r="E20" i="14"/>
  <c r="E37" i="14"/>
  <c r="E19" i="14"/>
  <c r="E36" i="14"/>
  <c r="E18" i="14"/>
  <c r="E35" i="14"/>
  <c r="E17" i="14"/>
  <c r="E34" i="14"/>
  <c r="E16" i="14"/>
  <c r="E33" i="14"/>
  <c r="E15" i="14"/>
  <c r="E32" i="14"/>
  <c r="E14" i="14"/>
  <c r="E31" i="14"/>
  <c r="E13" i="14"/>
  <c r="E30" i="14"/>
  <c r="E12" i="14"/>
  <c r="E29" i="14"/>
  <c r="E11" i="14"/>
  <c r="E28" i="14"/>
  <c r="E10" i="14"/>
  <c r="E27" i="14"/>
  <c r="C23" i="14"/>
  <c r="C21" i="14"/>
  <c r="C38" i="14"/>
  <c r="C20" i="14"/>
  <c r="C19" i="14"/>
  <c r="C36" i="14"/>
  <c r="C18" i="14"/>
  <c r="C35" i="14"/>
  <c r="C17" i="14"/>
  <c r="C34" i="14"/>
  <c r="C16" i="14"/>
  <c r="C15" i="14"/>
  <c r="C32" i="14"/>
  <c r="C14" i="14"/>
  <c r="C13" i="14"/>
  <c r="C30" i="14"/>
  <c r="C12" i="14"/>
  <c r="C11" i="14"/>
  <c r="B47" i="14"/>
  <c r="C10" i="14"/>
  <c r="D42" i="14"/>
  <c r="D56" i="14"/>
  <c r="D19" i="16"/>
  <c r="D32" i="16"/>
  <c r="G21" i="8"/>
  <c r="D8" i="8"/>
  <c r="D7" i="8"/>
  <c r="D6" i="8"/>
  <c r="D8" i="6"/>
  <c r="D7" i="6"/>
  <c r="D6" i="6"/>
  <c r="G23" i="8"/>
  <c r="G22" i="8"/>
  <c r="G18" i="8"/>
  <c r="D38" i="15"/>
  <c r="C38" i="15"/>
  <c r="J26" i="15"/>
  <c r="D37" i="15"/>
  <c r="C37" i="15"/>
  <c r="J28" i="15"/>
  <c r="J29" i="15"/>
  <c r="C36" i="15"/>
  <c r="C35" i="15"/>
  <c r="D36" i="15"/>
  <c r="D25" i="15"/>
  <c r="D35" i="15"/>
  <c r="Q18" i="9"/>
  <c r="R18" i="9"/>
  <c r="S18" i="9"/>
  <c r="Q31" i="9"/>
  <c r="R31" i="9"/>
  <c r="F100" i="9"/>
  <c r="F23" i="8"/>
  <c r="F21" i="8"/>
  <c r="F26" i="15"/>
  <c r="G25" i="15"/>
  <c r="C36" i="8"/>
  <c r="G36" i="8"/>
  <c r="B54" i="14"/>
  <c r="M36" i="8"/>
  <c r="D67" i="14"/>
  <c r="Z36" i="8"/>
  <c r="D26" i="16"/>
  <c r="AE36" i="8"/>
  <c r="Y36" i="8"/>
  <c r="R36" i="8"/>
  <c r="Q36" i="8"/>
  <c r="F27" i="8"/>
  <c r="I56" i="9"/>
  <c r="T41" i="9"/>
  <c r="T36" i="9"/>
  <c r="T26" i="9"/>
  <c r="H25" i="15"/>
  <c r="E25" i="15"/>
  <c r="J3" i="16"/>
  <c r="J22" i="16"/>
  <c r="T32" i="9"/>
  <c r="D15" i="16"/>
  <c r="F25" i="15"/>
  <c r="F28" i="15"/>
  <c r="F29" i="15"/>
  <c r="T18" i="9"/>
  <c r="T21" i="9"/>
  <c r="B58" i="14"/>
  <c r="G26" i="15"/>
  <c r="C26" i="14"/>
  <c r="D53" i="14"/>
  <c r="B57" i="14"/>
  <c r="E62" i="14"/>
  <c r="D76" i="14"/>
  <c r="I59" i="9"/>
  <c r="I60" i="9"/>
  <c r="I58" i="9"/>
  <c r="D94" i="9"/>
  <c r="T25" i="9"/>
  <c r="D46" i="14"/>
  <c r="D45" i="14"/>
  <c r="B49" i="14"/>
  <c r="B55" i="14"/>
  <c r="C28" i="14"/>
  <c r="D55" i="14"/>
  <c r="Q37" i="8"/>
  <c r="AD36" i="8"/>
  <c r="T31" i="9"/>
  <c r="AH36" i="8"/>
  <c r="D52" i="14"/>
  <c r="D49" i="14"/>
  <c r="D57" i="14"/>
  <c r="D54" i="14"/>
  <c r="I25" i="15"/>
  <c r="C29" i="14"/>
  <c r="B48" i="14"/>
  <c r="C33" i="14"/>
  <c r="B52" i="14"/>
  <c r="B56" i="14"/>
  <c r="C37" i="14"/>
  <c r="D26" i="15"/>
  <c r="D27" i="15"/>
  <c r="E26" i="15"/>
  <c r="I26" i="15"/>
  <c r="H26" i="15"/>
  <c r="C27" i="14"/>
  <c r="B46" i="14"/>
  <c r="C31" i="14"/>
  <c r="B50" i="14"/>
  <c r="B59" i="14"/>
  <c r="C40" i="14"/>
  <c r="D47" i="14"/>
  <c r="D59" i="14"/>
  <c r="E42" i="14"/>
  <c r="D58" i="14"/>
  <c r="B53" i="14"/>
  <c r="D51" i="14"/>
  <c r="D48" i="14"/>
  <c r="D50" i="14"/>
  <c r="B51" i="14"/>
  <c r="G27" i="15"/>
  <c r="J36" i="8"/>
  <c r="F101" i="9"/>
  <c r="I36" i="8"/>
  <c r="AE37" i="8"/>
  <c r="J37" i="8"/>
  <c r="AH37" i="8"/>
  <c r="E28" i="15"/>
  <c r="E29" i="15"/>
  <c r="AD38" i="8"/>
  <c r="X38" i="8"/>
  <c r="C38" i="8"/>
  <c r="G38" i="8"/>
  <c r="D36" i="8"/>
  <c r="C37" i="8"/>
  <c r="G37" i="8"/>
  <c r="X36" i="8"/>
  <c r="N36" i="8"/>
  <c r="AF36" i="8"/>
  <c r="H27" i="15"/>
  <c r="T28" i="9"/>
  <c r="T29" i="9"/>
  <c r="M38" i="8"/>
  <c r="M37" i="8"/>
  <c r="E67" i="14"/>
  <c r="Z38" i="8"/>
  <c r="Z37" i="8"/>
  <c r="Y37" i="8"/>
  <c r="R37" i="8"/>
  <c r="AD37" i="8"/>
  <c r="AH38" i="8"/>
  <c r="R38" i="8"/>
  <c r="Y38" i="8"/>
  <c r="Q38" i="8"/>
  <c r="F18" i="8"/>
  <c r="F27" i="15"/>
  <c r="H36" i="8"/>
  <c r="I37" i="8"/>
  <c r="H37" i="8"/>
  <c r="G28" i="15"/>
  <c r="G29" i="15"/>
  <c r="I38" i="8"/>
  <c r="AE38" i="8"/>
  <c r="H38" i="8"/>
  <c r="J38" i="8"/>
  <c r="F62" i="14"/>
  <c r="E76" i="14"/>
  <c r="E27" i="15"/>
  <c r="H28" i="15"/>
  <c r="H29" i="15"/>
  <c r="D28" i="15"/>
  <c r="D29" i="15"/>
  <c r="I28" i="15"/>
  <c r="I29" i="15"/>
  <c r="I27" i="15"/>
  <c r="F42" i="14"/>
  <c r="E50" i="14"/>
  <c r="E52" i="14"/>
  <c r="E47" i="14"/>
  <c r="E59" i="14"/>
  <c r="E57" i="14"/>
  <c r="E48" i="14"/>
  <c r="E46" i="14"/>
  <c r="E54" i="14"/>
  <c r="E58" i="14"/>
  <c r="E56" i="14"/>
  <c r="E53" i="14"/>
  <c r="E45" i="14"/>
  <c r="E49" i="14"/>
  <c r="E55" i="14"/>
  <c r="E51" i="14"/>
  <c r="F102" i="9"/>
  <c r="N38" i="8"/>
  <c r="D37" i="8"/>
  <c r="E37" i="8"/>
  <c r="E36" i="8"/>
  <c r="F17" i="8"/>
  <c r="Q39" i="8"/>
  <c r="C39" i="8"/>
  <c r="G39" i="8"/>
  <c r="F36" i="8"/>
  <c r="T24" i="9"/>
  <c r="N37" i="8"/>
  <c r="AF37" i="8"/>
  <c r="AF38" i="8"/>
  <c r="X37" i="8"/>
  <c r="D38" i="8"/>
  <c r="E38" i="8"/>
  <c r="F16" i="8"/>
  <c r="M39" i="8"/>
  <c r="F67" i="14"/>
  <c r="Z39" i="8"/>
  <c r="AE39" i="8"/>
  <c r="R39" i="8"/>
  <c r="Y39" i="8"/>
  <c r="AH39" i="8"/>
  <c r="AD39" i="8"/>
  <c r="I39" i="8"/>
  <c r="J39" i="8"/>
  <c r="H39" i="8"/>
  <c r="F76" i="14"/>
  <c r="G62" i="14"/>
  <c r="F56" i="14"/>
  <c r="F58" i="14"/>
  <c r="F50" i="14"/>
  <c r="F51" i="14"/>
  <c r="F49" i="14"/>
  <c r="G42" i="14"/>
  <c r="F48" i="14"/>
  <c r="F45" i="14"/>
  <c r="F47" i="14"/>
  <c r="F57" i="14"/>
  <c r="F59" i="14"/>
  <c r="F54" i="14"/>
  <c r="F55" i="14"/>
  <c r="F52" i="14"/>
  <c r="F46" i="14"/>
  <c r="F53" i="14"/>
  <c r="F37" i="8"/>
  <c r="O37" i="8"/>
  <c r="O36" i="8"/>
  <c r="F15" i="8"/>
  <c r="G15" i="8"/>
  <c r="G24" i="8"/>
  <c r="P40" i="8"/>
  <c r="C40" i="8"/>
  <c r="G40" i="8"/>
  <c r="F38" i="8"/>
  <c r="X39" i="8"/>
  <c r="N39" i="8"/>
  <c r="AF39" i="8"/>
  <c r="D39" i="8"/>
  <c r="M40" i="8"/>
  <c r="G67" i="14"/>
  <c r="Z40" i="8"/>
  <c r="Y40" i="8"/>
  <c r="R40" i="8"/>
  <c r="AD40" i="8"/>
  <c r="AH40" i="8"/>
  <c r="H40" i="8"/>
  <c r="J40" i="8"/>
  <c r="AE40" i="8"/>
  <c r="Q40" i="8"/>
  <c r="I40" i="8"/>
  <c r="G76" i="14"/>
  <c r="H62" i="14"/>
  <c r="G55" i="14"/>
  <c r="H42" i="14"/>
  <c r="G45" i="14"/>
  <c r="G47" i="14"/>
  <c r="G59" i="14"/>
  <c r="G51" i="14"/>
  <c r="G56" i="14"/>
  <c r="G53" i="14"/>
  <c r="G52" i="14"/>
  <c r="G58" i="14"/>
  <c r="G49" i="14"/>
  <c r="G46" i="14"/>
  <c r="G50" i="14"/>
  <c r="G57" i="14"/>
  <c r="G54" i="14"/>
  <c r="G48" i="14"/>
  <c r="F39" i="8"/>
  <c r="E39" i="8"/>
  <c r="C41" i="8"/>
  <c r="G41" i="8"/>
  <c r="P41" i="8"/>
  <c r="P36" i="8"/>
  <c r="U36" i="8"/>
  <c r="AA36" i="8"/>
  <c r="AB36" i="8"/>
  <c r="P38" i="8"/>
  <c r="U38" i="8"/>
  <c r="P37" i="8"/>
  <c r="U37" i="8"/>
  <c r="V37" i="8"/>
  <c r="AJ37" i="8"/>
  <c r="P39" i="8"/>
  <c r="U39" i="8"/>
  <c r="O38" i="8"/>
  <c r="X40" i="8"/>
  <c r="N40" i="8"/>
  <c r="AF40" i="8"/>
  <c r="D40" i="8"/>
  <c r="M41" i="8"/>
  <c r="H67" i="14"/>
  <c r="Z41" i="8"/>
  <c r="U40" i="8"/>
  <c r="H41" i="8"/>
  <c r="Y41" i="8"/>
  <c r="R41" i="8"/>
  <c r="J41" i="8"/>
  <c r="AE41" i="8"/>
  <c r="Q41" i="8"/>
  <c r="AH41" i="8"/>
  <c r="I41" i="8"/>
  <c r="AD41" i="8"/>
  <c r="H76" i="14"/>
  <c r="I62" i="14"/>
  <c r="AH42" i="8"/>
  <c r="H49" i="14"/>
  <c r="H59" i="14"/>
  <c r="H54" i="14"/>
  <c r="H45" i="14"/>
  <c r="H47" i="14"/>
  <c r="I42" i="14"/>
  <c r="H51" i="14"/>
  <c r="H58" i="14"/>
  <c r="H48" i="14"/>
  <c r="H57" i="14"/>
  <c r="H46" i="14"/>
  <c r="H56" i="14"/>
  <c r="H52" i="14"/>
  <c r="H53" i="14"/>
  <c r="H50" i="14"/>
  <c r="H55" i="14"/>
  <c r="V36" i="8"/>
  <c r="W36" i="8"/>
  <c r="W37" i="8"/>
  <c r="AI37" i="8"/>
  <c r="C42" i="8"/>
  <c r="G42" i="8"/>
  <c r="P42" i="8"/>
  <c r="AA37" i="8"/>
  <c r="AB37" i="8"/>
  <c r="AA38" i="8"/>
  <c r="E40" i="8"/>
  <c r="F40" i="8"/>
  <c r="V38" i="8"/>
  <c r="O39" i="8"/>
  <c r="AA39" i="8"/>
  <c r="N41" i="8"/>
  <c r="AF41" i="8"/>
  <c r="X41" i="8"/>
  <c r="Q42" i="8"/>
  <c r="D41" i="8"/>
  <c r="I42" i="8"/>
  <c r="M42" i="8"/>
  <c r="H42" i="8"/>
  <c r="I67" i="14"/>
  <c r="AE42" i="8"/>
  <c r="J42" i="8"/>
  <c r="Z42" i="8"/>
  <c r="U41" i="8"/>
  <c r="R42" i="8"/>
  <c r="Y42" i="8"/>
  <c r="AD42" i="8"/>
  <c r="J62" i="14"/>
  <c r="I76" i="14"/>
  <c r="I59" i="14"/>
  <c r="J42" i="14"/>
  <c r="I47" i="14"/>
  <c r="I49" i="14"/>
  <c r="I51" i="14"/>
  <c r="I45" i="14"/>
  <c r="I46" i="14"/>
  <c r="I55" i="14"/>
  <c r="I53" i="14"/>
  <c r="I52" i="14"/>
  <c r="I57" i="14"/>
  <c r="I58" i="14"/>
  <c r="I48" i="14"/>
  <c r="I50" i="14"/>
  <c r="I54" i="14"/>
  <c r="I56" i="14"/>
  <c r="W38" i="8"/>
  <c r="AI38" i="8"/>
  <c r="AJ38" i="8"/>
  <c r="AI36" i="8"/>
  <c r="AG36" i="8"/>
  <c r="AJ36" i="8"/>
  <c r="E41" i="8"/>
  <c r="F41" i="8"/>
  <c r="R43" i="8"/>
  <c r="C43" i="8"/>
  <c r="G43" i="8"/>
  <c r="P43" i="8"/>
  <c r="V39" i="8"/>
  <c r="O40" i="8"/>
  <c r="AA40" i="8"/>
  <c r="N42" i="8"/>
  <c r="AF42" i="8"/>
  <c r="X42" i="8"/>
  <c r="Q43" i="8"/>
  <c r="J43" i="8"/>
  <c r="I43" i="8"/>
  <c r="Y43" i="8"/>
  <c r="Z43" i="8"/>
  <c r="D42" i="8"/>
  <c r="AE43" i="8"/>
  <c r="AD43" i="8"/>
  <c r="AH43" i="8"/>
  <c r="H43" i="8"/>
  <c r="M43" i="8"/>
  <c r="J67" i="14"/>
  <c r="U42" i="8"/>
  <c r="AE44" i="8"/>
  <c r="K62" i="14"/>
  <c r="J76" i="14"/>
  <c r="AB38" i="8"/>
  <c r="Q44" i="8"/>
  <c r="J49" i="14"/>
  <c r="K42" i="14"/>
  <c r="J48" i="14"/>
  <c r="J51" i="14"/>
  <c r="J52" i="14"/>
  <c r="J58" i="14"/>
  <c r="J54" i="14"/>
  <c r="J46" i="14"/>
  <c r="J55" i="14"/>
  <c r="J53" i="14"/>
  <c r="J50" i="14"/>
  <c r="J57" i="14"/>
  <c r="J56" i="14"/>
  <c r="J59" i="14"/>
  <c r="J45" i="14"/>
  <c r="J47" i="14"/>
  <c r="AG38" i="8"/>
  <c r="AG37" i="8"/>
  <c r="AI39" i="8"/>
  <c r="AG39" i="8"/>
  <c r="AJ39" i="8"/>
  <c r="U43" i="8"/>
  <c r="O41" i="8"/>
  <c r="AA41" i="8"/>
  <c r="F42" i="8"/>
  <c r="E42" i="8"/>
  <c r="M44" i="8"/>
  <c r="C44" i="8"/>
  <c r="G44" i="8"/>
  <c r="P44" i="8"/>
  <c r="W39" i="8"/>
  <c r="V40" i="8"/>
  <c r="J44" i="8"/>
  <c r="R45" i="8"/>
  <c r="AD44" i="8"/>
  <c r="X44" i="8"/>
  <c r="X43" i="8"/>
  <c r="N43" i="8"/>
  <c r="AF43" i="8"/>
  <c r="AH44" i="8"/>
  <c r="H44" i="8"/>
  <c r="R44" i="8"/>
  <c r="I44" i="8"/>
  <c r="Y44" i="8"/>
  <c r="Z44" i="8"/>
  <c r="D43" i="8"/>
  <c r="M45" i="8"/>
  <c r="K67" i="14"/>
  <c r="Z45" i="8"/>
  <c r="I45" i="8"/>
  <c r="L62" i="14"/>
  <c r="K76" i="14"/>
  <c r="AB39" i="8"/>
  <c r="K49" i="14"/>
  <c r="K50" i="14"/>
  <c r="K46" i="14"/>
  <c r="K56" i="14"/>
  <c r="K54" i="14"/>
  <c r="K45" i="14"/>
  <c r="K59" i="14"/>
  <c r="K55" i="14"/>
  <c r="L42" i="14"/>
  <c r="K47" i="14"/>
  <c r="K52" i="14"/>
  <c r="K51" i="14"/>
  <c r="K53" i="14"/>
  <c r="K57" i="14"/>
  <c r="K48" i="14"/>
  <c r="K58" i="14"/>
  <c r="Q45" i="8"/>
  <c r="AH45" i="8"/>
  <c r="H45" i="8"/>
  <c r="J45" i="8"/>
  <c r="AE45" i="8"/>
  <c r="Y45" i="8"/>
  <c r="O42" i="8"/>
  <c r="AA42" i="8"/>
  <c r="AD45" i="8"/>
  <c r="X45" i="8"/>
  <c r="AI40" i="8"/>
  <c r="AG40" i="8"/>
  <c r="AJ40" i="8"/>
  <c r="U44" i="8"/>
  <c r="V41" i="8"/>
  <c r="C46" i="8"/>
  <c r="G46" i="8"/>
  <c r="P46" i="8"/>
  <c r="E43" i="8"/>
  <c r="F43" i="8"/>
  <c r="C45" i="8"/>
  <c r="G45" i="8"/>
  <c r="P45" i="8"/>
  <c r="U45" i="8"/>
  <c r="D44" i="8"/>
  <c r="W40" i="8"/>
  <c r="N44" i="8"/>
  <c r="AF44" i="8"/>
  <c r="N45" i="8"/>
  <c r="M46" i="8"/>
  <c r="L67" i="14"/>
  <c r="Z46" i="8"/>
  <c r="R46" i="8"/>
  <c r="Y46" i="8"/>
  <c r="M62" i="14"/>
  <c r="L76" i="14"/>
  <c r="AE46" i="8"/>
  <c r="H46" i="8"/>
  <c r="I46" i="8"/>
  <c r="AB40" i="8"/>
  <c r="AH46" i="8"/>
  <c r="J46" i="8"/>
  <c r="AD46" i="8"/>
  <c r="Q46" i="8"/>
  <c r="L49" i="14"/>
  <c r="M42" i="14"/>
  <c r="L52" i="14"/>
  <c r="L50" i="14"/>
  <c r="L45" i="14"/>
  <c r="L47" i="14"/>
  <c r="L58" i="14"/>
  <c r="L55" i="14"/>
  <c r="L51" i="14"/>
  <c r="L48" i="14"/>
  <c r="L54" i="14"/>
  <c r="L56" i="14"/>
  <c r="L53" i="14"/>
  <c r="L46" i="14"/>
  <c r="L59" i="14"/>
  <c r="L57" i="14"/>
  <c r="W41" i="8"/>
  <c r="V42" i="8"/>
  <c r="AF45" i="8"/>
  <c r="AI41" i="8"/>
  <c r="AG41" i="8"/>
  <c r="AJ41" i="8"/>
  <c r="O43" i="8"/>
  <c r="AA43" i="8"/>
  <c r="D45" i="8"/>
  <c r="F44" i="8"/>
  <c r="E44" i="8"/>
  <c r="C47" i="8"/>
  <c r="G47" i="8"/>
  <c r="P47" i="8"/>
  <c r="N46" i="8"/>
  <c r="X46" i="8"/>
  <c r="M47" i="8"/>
  <c r="M67" i="14"/>
  <c r="Z47" i="8"/>
  <c r="R47" i="8"/>
  <c r="Y47" i="8"/>
  <c r="U46" i="8"/>
  <c r="N62" i="14"/>
  <c r="M76" i="14"/>
  <c r="AE47" i="8"/>
  <c r="I47" i="8"/>
  <c r="H47" i="8"/>
  <c r="AB41" i="8"/>
  <c r="Q47" i="8"/>
  <c r="AD47" i="8"/>
  <c r="J47" i="8"/>
  <c r="AH47" i="8"/>
  <c r="M49" i="14"/>
  <c r="N42" i="14"/>
  <c r="M47" i="14"/>
  <c r="M56" i="14"/>
  <c r="M58" i="14"/>
  <c r="M51" i="14"/>
  <c r="M57" i="14"/>
  <c r="M45" i="14"/>
  <c r="M55" i="14"/>
  <c r="M59" i="14"/>
  <c r="M50" i="14"/>
  <c r="M52" i="14"/>
  <c r="M48" i="14"/>
  <c r="M46" i="14"/>
  <c r="M54" i="14"/>
  <c r="M53" i="14"/>
  <c r="D46" i="8"/>
  <c r="W42" i="8"/>
  <c r="AJ42" i="8"/>
  <c r="AI42" i="8"/>
  <c r="AG42" i="8"/>
  <c r="V43" i="8"/>
  <c r="AI43" i="8"/>
  <c r="AF46" i="8"/>
  <c r="O44" i="8"/>
  <c r="AA44" i="8"/>
  <c r="C48" i="8"/>
  <c r="G48" i="8"/>
  <c r="P48" i="8"/>
  <c r="F46" i="8"/>
  <c r="E46" i="8"/>
  <c r="E45" i="8"/>
  <c r="F45" i="8"/>
  <c r="X47" i="8"/>
  <c r="N47" i="8"/>
  <c r="M48" i="8"/>
  <c r="D79" i="14"/>
  <c r="D65" i="14"/>
  <c r="D66" i="14"/>
  <c r="E79" i="14"/>
  <c r="E65" i="14"/>
  <c r="E66" i="14"/>
  <c r="F65" i="14"/>
  <c r="F66" i="14"/>
  <c r="F79" i="14"/>
  <c r="G65" i="14"/>
  <c r="G66" i="14"/>
  <c r="G79" i="14"/>
  <c r="H79" i="14"/>
  <c r="H65" i="14"/>
  <c r="H66" i="14"/>
  <c r="I79" i="14"/>
  <c r="I65" i="14"/>
  <c r="I66" i="14"/>
  <c r="J65" i="14"/>
  <c r="J66" i="14"/>
  <c r="J79" i="14"/>
  <c r="K65" i="14"/>
  <c r="K66" i="14"/>
  <c r="K79" i="14"/>
  <c r="L65" i="14"/>
  <c r="L66" i="14"/>
  <c r="L79" i="14"/>
  <c r="N65" i="14"/>
  <c r="N66" i="14"/>
  <c r="N67" i="14"/>
  <c r="N79" i="14"/>
  <c r="M65" i="14"/>
  <c r="M66" i="14"/>
  <c r="M79" i="14"/>
  <c r="Z48" i="8"/>
  <c r="Y48" i="8"/>
  <c r="R48" i="8"/>
  <c r="F75" i="14"/>
  <c r="U47" i="8"/>
  <c r="N80" i="14"/>
  <c r="O62" i="14"/>
  <c r="O75" i="14"/>
  <c r="N76" i="14"/>
  <c r="AE48" i="8"/>
  <c r="D80" i="14"/>
  <c r="H48" i="8"/>
  <c r="I48" i="8"/>
  <c r="E80" i="14"/>
  <c r="F80" i="14"/>
  <c r="G80" i="14"/>
  <c r="H80" i="14"/>
  <c r="I80" i="14"/>
  <c r="J80" i="14"/>
  <c r="K80" i="14"/>
  <c r="L80" i="14"/>
  <c r="M80" i="14"/>
  <c r="AB42" i="8"/>
  <c r="O42" i="14"/>
  <c r="N48" i="14"/>
  <c r="N45" i="14"/>
  <c r="N47" i="14"/>
  <c r="N49" i="14"/>
  <c r="N59" i="14"/>
  <c r="N53" i="14"/>
  <c r="N54" i="14"/>
  <c r="N46" i="14"/>
  <c r="N58" i="14"/>
  <c r="N50" i="14"/>
  <c r="N51" i="14"/>
  <c r="N56" i="14"/>
  <c r="N55" i="14"/>
  <c r="N57" i="14"/>
  <c r="N52" i="14"/>
  <c r="AH48" i="8"/>
  <c r="AD48" i="8"/>
  <c r="E75" i="14"/>
  <c r="E70" i="14"/>
  <c r="D74" i="14"/>
  <c r="Q48" i="8"/>
  <c r="D70" i="14"/>
  <c r="F74" i="14"/>
  <c r="J48" i="8"/>
  <c r="E69" i="14"/>
  <c r="D69" i="14"/>
  <c r="F69" i="14"/>
  <c r="E74" i="14"/>
  <c r="F70" i="14"/>
  <c r="D75" i="14"/>
  <c r="G70" i="14"/>
  <c r="G69" i="14"/>
  <c r="G74" i="14"/>
  <c r="G75" i="14"/>
  <c r="H75" i="14"/>
  <c r="H70" i="14"/>
  <c r="H69" i="14"/>
  <c r="H74" i="14"/>
  <c r="I75" i="14"/>
  <c r="I70" i="14"/>
  <c r="I69" i="14"/>
  <c r="I74" i="14"/>
  <c r="J75" i="14"/>
  <c r="J74" i="14"/>
  <c r="J70" i="14"/>
  <c r="J69" i="14"/>
  <c r="K75" i="14"/>
  <c r="K74" i="14"/>
  <c r="K69" i="14"/>
  <c r="K70" i="14"/>
  <c r="L74" i="14"/>
  <c r="L70" i="14"/>
  <c r="L75" i="14"/>
  <c r="L69" i="14"/>
  <c r="M74" i="14"/>
  <c r="M75" i="14"/>
  <c r="M69" i="14"/>
  <c r="N75" i="14"/>
  <c r="N69" i="14"/>
  <c r="N74" i="14"/>
  <c r="D47" i="8"/>
  <c r="W43" i="8"/>
  <c r="AJ43" i="8"/>
  <c r="AG43" i="8"/>
  <c r="AF47" i="8"/>
  <c r="V44" i="8"/>
  <c r="M70" i="14"/>
  <c r="E47" i="8"/>
  <c r="F47" i="8"/>
  <c r="O45" i="8"/>
  <c r="AA45" i="8"/>
  <c r="C49" i="8"/>
  <c r="G49" i="8"/>
  <c r="P49" i="8"/>
  <c r="O74" i="14"/>
  <c r="O46" i="8"/>
  <c r="X48" i="8"/>
  <c r="N48" i="8"/>
  <c r="M49" i="8"/>
  <c r="O65" i="14"/>
  <c r="O66" i="14"/>
  <c r="O67" i="14"/>
  <c r="O79" i="14"/>
  <c r="Z49" i="8"/>
  <c r="N70" i="14"/>
  <c r="Y49" i="8"/>
  <c r="R49" i="8"/>
  <c r="O69" i="14"/>
  <c r="U48" i="8"/>
  <c r="O80" i="14"/>
  <c r="P62" i="14"/>
  <c r="O76" i="14"/>
  <c r="AE49" i="8"/>
  <c r="I49" i="8"/>
  <c r="H49" i="8"/>
  <c r="AB43" i="8"/>
  <c r="O54" i="14"/>
  <c r="P42" i="14"/>
  <c r="O49" i="14"/>
  <c r="O46" i="14"/>
  <c r="O51" i="14"/>
  <c r="O50" i="14"/>
  <c r="O58" i="14"/>
  <c r="O56" i="14"/>
  <c r="O48" i="14"/>
  <c r="O47" i="14"/>
  <c r="O55" i="14"/>
  <c r="O53" i="14"/>
  <c r="O59" i="14"/>
  <c r="O57" i="14"/>
  <c r="O45" i="14"/>
  <c r="O52" i="14"/>
  <c r="D48" i="8"/>
  <c r="J49" i="8"/>
  <c r="AH49" i="8"/>
  <c r="AD49" i="8"/>
  <c r="Q49" i="8"/>
  <c r="W44" i="8"/>
  <c r="AF48" i="8"/>
  <c r="V45" i="8"/>
  <c r="AI45" i="8"/>
  <c r="AI44" i="8"/>
  <c r="AG44" i="8"/>
  <c r="AJ44" i="8"/>
  <c r="C50" i="8"/>
  <c r="G50" i="8"/>
  <c r="P50" i="8"/>
  <c r="F48" i="8"/>
  <c r="E48" i="8"/>
  <c r="O47" i="8"/>
  <c r="AA47" i="8"/>
  <c r="N49" i="8"/>
  <c r="AF49" i="8"/>
  <c r="X49" i="8"/>
  <c r="M50" i="8"/>
  <c r="P67" i="14"/>
  <c r="P79" i="14"/>
  <c r="P65" i="14"/>
  <c r="P66" i="14"/>
  <c r="V46" i="8"/>
  <c r="AA46" i="8"/>
  <c r="Z50" i="8"/>
  <c r="R50" i="8"/>
  <c r="Y50" i="8"/>
  <c r="P75" i="14"/>
  <c r="U49" i="8"/>
  <c r="P74" i="14"/>
  <c r="AE50" i="8"/>
  <c r="H50" i="8"/>
  <c r="I50" i="8"/>
  <c r="P80" i="14"/>
  <c r="P76" i="14"/>
  <c r="P69" i="14"/>
  <c r="Q62" i="14"/>
  <c r="AB44" i="8"/>
  <c r="O70" i="14"/>
  <c r="AH50" i="8"/>
  <c r="AD50" i="8"/>
  <c r="Q50" i="8"/>
  <c r="J50" i="8"/>
  <c r="D49" i="8"/>
  <c r="P46" i="14"/>
  <c r="P59" i="14"/>
  <c r="P55" i="14"/>
  <c r="P56" i="14"/>
  <c r="P47" i="14"/>
  <c r="P53" i="14"/>
  <c r="P50" i="14"/>
  <c r="P58" i="14"/>
  <c r="P52" i="14"/>
  <c r="Q42" i="14"/>
  <c r="P51" i="14"/>
  <c r="P57" i="14"/>
  <c r="P49" i="14"/>
  <c r="P48" i="14"/>
  <c r="P54" i="14"/>
  <c r="P45" i="14"/>
  <c r="W45" i="8"/>
  <c r="W46" i="8"/>
  <c r="AJ45" i="8"/>
  <c r="AI46" i="8"/>
  <c r="AJ46" i="8"/>
  <c r="AG45" i="8"/>
  <c r="C51" i="8"/>
  <c r="G51" i="8"/>
  <c r="P51" i="8"/>
  <c r="F49" i="8"/>
  <c r="E49" i="8"/>
  <c r="O48" i="8"/>
  <c r="AA48" i="8"/>
  <c r="N50" i="8"/>
  <c r="AF50" i="8"/>
  <c r="X50" i="8"/>
  <c r="M51" i="8"/>
  <c r="Q67" i="14"/>
  <c r="Z51" i="8"/>
  <c r="R51" i="8"/>
  <c r="Y51" i="8"/>
  <c r="V47" i="8"/>
  <c r="U50" i="8"/>
  <c r="AE51" i="8"/>
  <c r="I51" i="8"/>
  <c r="H51" i="8"/>
  <c r="R62" i="14"/>
  <c r="Q76" i="14"/>
  <c r="AB45" i="8"/>
  <c r="AB46" i="8"/>
  <c r="P70" i="14"/>
  <c r="Q49" i="14"/>
  <c r="Q53" i="14"/>
  <c r="Q59" i="14"/>
  <c r="Q57" i="14"/>
  <c r="Q58" i="14"/>
  <c r="Q46" i="14"/>
  <c r="Q54" i="14"/>
  <c r="Q45" i="14"/>
  <c r="Q51" i="14"/>
  <c r="R42" i="14"/>
  <c r="Q47" i="14"/>
  <c r="Q50" i="14"/>
  <c r="Q48" i="14"/>
  <c r="Q52" i="14"/>
  <c r="Q55" i="14"/>
  <c r="Q56" i="14"/>
  <c r="Q51" i="8"/>
  <c r="AD51" i="8"/>
  <c r="J51" i="8"/>
  <c r="AH51" i="8"/>
  <c r="D50" i="8"/>
  <c r="AG46" i="8"/>
  <c r="AI47" i="8"/>
  <c r="AG47" i="8"/>
  <c r="AJ47" i="8"/>
  <c r="C52" i="8"/>
  <c r="G52" i="8"/>
  <c r="P52" i="8"/>
  <c r="E50" i="8"/>
  <c r="F50" i="8"/>
  <c r="O49" i="8"/>
  <c r="AA49" i="8"/>
  <c r="X51" i="8"/>
  <c r="N51" i="8"/>
  <c r="AF51" i="8"/>
  <c r="M52" i="8"/>
  <c r="W47" i="8"/>
  <c r="R67" i="14"/>
  <c r="Z52" i="8"/>
  <c r="Y52" i="8"/>
  <c r="R52" i="8"/>
  <c r="V48" i="8"/>
  <c r="U51" i="8"/>
  <c r="R76" i="14"/>
  <c r="S62" i="14"/>
  <c r="AE52" i="8"/>
  <c r="I52" i="8"/>
  <c r="H52" i="8"/>
  <c r="AB47" i="8"/>
  <c r="D51" i="8"/>
  <c r="R58" i="14"/>
  <c r="R56" i="14"/>
  <c r="R52" i="14"/>
  <c r="R51" i="14"/>
  <c r="R55" i="14"/>
  <c r="R47" i="14"/>
  <c r="R57" i="14"/>
  <c r="R50" i="14"/>
  <c r="S42" i="14"/>
  <c r="R48" i="14"/>
  <c r="R49" i="14"/>
  <c r="R45" i="14"/>
  <c r="R59" i="14"/>
  <c r="R53" i="14"/>
  <c r="R46" i="14"/>
  <c r="R54" i="14"/>
  <c r="AH52" i="8"/>
  <c r="Q52" i="8"/>
  <c r="AD52" i="8"/>
  <c r="J52" i="8"/>
  <c r="AI48" i="8"/>
  <c r="AG48" i="8"/>
  <c r="AJ48" i="8"/>
  <c r="C53" i="8"/>
  <c r="G53" i="8"/>
  <c r="P53" i="8"/>
  <c r="F51" i="8"/>
  <c r="E51" i="8"/>
  <c r="O50" i="8"/>
  <c r="AA50" i="8"/>
  <c r="X52" i="8"/>
  <c r="N52" i="8"/>
  <c r="AF52" i="8"/>
  <c r="M53" i="8"/>
  <c r="W48" i="8"/>
  <c r="S67" i="14"/>
  <c r="Z53" i="8"/>
  <c r="AB48" i="8"/>
  <c r="Y53" i="8"/>
  <c r="R53" i="8"/>
  <c r="V49" i="8"/>
  <c r="U52" i="8"/>
  <c r="S76" i="14"/>
  <c r="T62" i="14"/>
  <c r="AE53" i="8"/>
  <c r="I53" i="8"/>
  <c r="H53" i="8"/>
  <c r="S47" i="14"/>
  <c r="S56" i="14"/>
  <c r="S52" i="14"/>
  <c r="S48" i="14"/>
  <c r="S57" i="14"/>
  <c r="S59" i="14"/>
  <c r="S49" i="14"/>
  <c r="S45" i="14"/>
  <c r="S58" i="14"/>
  <c r="S54" i="14"/>
  <c r="S50" i="14"/>
  <c r="S46" i="14"/>
  <c r="S53" i="14"/>
  <c r="S55" i="14"/>
  <c r="S51" i="14"/>
  <c r="D52" i="8"/>
  <c r="AH53" i="8"/>
  <c r="AD53" i="8"/>
  <c r="Q53" i="8"/>
  <c r="J53" i="8"/>
  <c r="AI49" i="8"/>
  <c r="AG49" i="8"/>
  <c r="AJ49" i="8"/>
  <c r="C54" i="8"/>
  <c r="G54" i="8"/>
  <c r="P54" i="8"/>
  <c r="E52" i="8"/>
  <c r="F52" i="8"/>
  <c r="O51" i="8"/>
  <c r="AA51" i="8"/>
  <c r="N53" i="8"/>
  <c r="AF53" i="8"/>
  <c r="X53" i="8"/>
  <c r="S65" i="14"/>
  <c r="S66" i="14"/>
  <c r="W49" i="8"/>
  <c r="S79" i="14"/>
  <c r="M54" i="8"/>
  <c r="Q79" i="14"/>
  <c r="Q65" i="14"/>
  <c r="Q66" i="14"/>
  <c r="R65" i="14"/>
  <c r="R66" i="14"/>
  <c r="R79" i="14"/>
  <c r="T67" i="14"/>
  <c r="T79" i="14"/>
  <c r="T65" i="14"/>
  <c r="T66" i="14"/>
  <c r="Z54" i="8"/>
  <c r="AB49" i="8"/>
  <c r="AB50" i="8"/>
  <c r="R54" i="8"/>
  <c r="Y54" i="8"/>
  <c r="V50" i="8"/>
  <c r="U53" i="8"/>
  <c r="AE54" i="8"/>
  <c r="H54" i="8"/>
  <c r="I54" i="8"/>
  <c r="Q80" i="14"/>
  <c r="R80" i="14"/>
  <c r="T80" i="14"/>
  <c r="T76" i="14"/>
  <c r="U62" i="14"/>
  <c r="U74" i="14"/>
  <c r="S80" i="14"/>
  <c r="D53" i="8"/>
  <c r="AH54" i="8"/>
  <c r="AD54" i="8"/>
  <c r="J54" i="8"/>
  <c r="Q54" i="8"/>
  <c r="Q70" i="14"/>
  <c r="Q74" i="14"/>
  <c r="Q75" i="14"/>
  <c r="Q69" i="14"/>
  <c r="R70" i="14"/>
  <c r="R75" i="14"/>
  <c r="R69" i="14"/>
  <c r="R74" i="14"/>
  <c r="S75" i="14"/>
  <c r="S74" i="14"/>
  <c r="S69" i="14"/>
  <c r="S70" i="14"/>
  <c r="T74" i="14"/>
  <c r="T69" i="14"/>
  <c r="T75" i="14"/>
  <c r="O52" i="8"/>
  <c r="AA52" i="8"/>
  <c r="AI50" i="8"/>
  <c r="AG50" i="8"/>
  <c r="AJ50" i="8"/>
  <c r="F53" i="8"/>
  <c r="E53" i="8"/>
  <c r="C55" i="8"/>
  <c r="G55" i="8"/>
  <c r="P55" i="8"/>
  <c r="N54" i="8"/>
  <c r="AF54" i="8"/>
  <c r="X54" i="8"/>
  <c r="M55" i="8"/>
  <c r="W50" i="8"/>
  <c r="U79" i="14"/>
  <c r="U67" i="14"/>
  <c r="U65" i="14"/>
  <c r="U66" i="14"/>
  <c r="Z55" i="8"/>
  <c r="Y55" i="8"/>
  <c r="R55" i="8"/>
  <c r="V51" i="8"/>
  <c r="U75" i="14"/>
  <c r="V62" i="14"/>
  <c r="V74" i="14"/>
  <c r="U80" i="14"/>
  <c r="U76" i="14"/>
  <c r="AE55" i="8"/>
  <c r="H55" i="8"/>
  <c r="I55" i="8"/>
  <c r="U69" i="14"/>
  <c r="U54" i="8"/>
  <c r="T70" i="14"/>
  <c r="Q55" i="8"/>
  <c r="AH55" i="8"/>
  <c r="AD55" i="8"/>
  <c r="J55" i="8"/>
  <c r="D54" i="8"/>
  <c r="O53" i="8"/>
  <c r="AI51" i="8"/>
  <c r="AG51" i="8"/>
  <c r="AJ51" i="8"/>
  <c r="V69" i="14"/>
  <c r="E54" i="8"/>
  <c r="F54" i="8"/>
  <c r="C56" i="8"/>
  <c r="G56" i="8"/>
  <c r="P56" i="8"/>
  <c r="X55" i="8"/>
  <c r="N55" i="8"/>
  <c r="AF55" i="8"/>
  <c r="M56" i="8"/>
  <c r="W51" i="8"/>
  <c r="V65" i="14"/>
  <c r="V66" i="14"/>
  <c r="V67" i="14"/>
  <c r="Z56" i="8"/>
  <c r="AB51" i="8"/>
  <c r="Y56" i="8"/>
  <c r="R56" i="8"/>
  <c r="V52" i="8"/>
  <c r="V75" i="14"/>
  <c r="U55" i="8"/>
  <c r="AE56" i="8"/>
  <c r="H56" i="8"/>
  <c r="I56" i="8"/>
  <c r="V76" i="14"/>
  <c r="AA53" i="8"/>
  <c r="U70" i="14"/>
  <c r="D55" i="8"/>
  <c r="AH56" i="8"/>
  <c r="AD56" i="8"/>
  <c r="J56" i="8"/>
  <c r="Q56" i="8"/>
  <c r="O54" i="8"/>
  <c r="AA54" i="8"/>
  <c r="AI52" i="8"/>
  <c r="AG52" i="8"/>
  <c r="AJ52" i="8"/>
  <c r="C57" i="8"/>
  <c r="G57" i="8"/>
  <c r="P57" i="8"/>
  <c r="F55" i="8"/>
  <c r="E55" i="8"/>
  <c r="X56" i="8"/>
  <c r="N56" i="8"/>
  <c r="AF56" i="8"/>
  <c r="W52" i="8"/>
  <c r="M57" i="8"/>
  <c r="Z57" i="8"/>
  <c r="AB52" i="8"/>
  <c r="Y57" i="8"/>
  <c r="R57" i="8"/>
  <c r="V53" i="8"/>
  <c r="U56" i="8"/>
  <c r="AE57" i="8"/>
  <c r="H57" i="8"/>
  <c r="I57" i="8"/>
  <c r="D56" i="8"/>
  <c r="Q57" i="8"/>
  <c r="AH57" i="8"/>
  <c r="J57" i="8"/>
  <c r="AD57" i="8"/>
  <c r="V70" i="14"/>
  <c r="AI53" i="8"/>
  <c r="AG53" i="8"/>
  <c r="AJ53" i="8"/>
  <c r="C58" i="8"/>
  <c r="G58" i="8"/>
  <c r="P58" i="8"/>
  <c r="E56" i="8"/>
  <c r="F56" i="8"/>
  <c r="O55" i="8"/>
  <c r="AA55" i="8"/>
  <c r="N57" i="8"/>
  <c r="AF57" i="8"/>
  <c r="X57" i="8"/>
  <c r="M58" i="8"/>
  <c r="W53" i="8"/>
  <c r="Z58" i="8"/>
  <c r="U57" i="8"/>
  <c r="AB53" i="8"/>
  <c r="R58" i="8"/>
  <c r="Y58" i="8"/>
  <c r="V54" i="8"/>
  <c r="AE58" i="8"/>
  <c r="H58" i="8"/>
  <c r="I58" i="8"/>
  <c r="Q58" i="8"/>
  <c r="AH58" i="8"/>
  <c r="J58" i="8"/>
  <c r="AD58" i="8"/>
  <c r="D57" i="8"/>
  <c r="AI54" i="8"/>
  <c r="AG54" i="8"/>
  <c r="AJ54" i="8"/>
  <c r="C59" i="8"/>
  <c r="G59" i="8"/>
  <c r="P59" i="8"/>
  <c r="E57" i="8"/>
  <c r="F57" i="8"/>
  <c r="O56" i="8"/>
  <c r="N58" i="8"/>
  <c r="AF58" i="8"/>
  <c r="X58" i="8"/>
  <c r="W54" i="8"/>
  <c r="M59" i="8"/>
  <c r="Z59" i="8"/>
  <c r="AB54" i="8"/>
  <c r="R59" i="8"/>
  <c r="Y59" i="8"/>
  <c r="V55" i="8"/>
  <c r="U58" i="8"/>
  <c r="AE59" i="8"/>
  <c r="H59" i="8"/>
  <c r="I59" i="8"/>
  <c r="D58" i="8"/>
  <c r="Q59" i="8"/>
  <c r="AH59" i="8"/>
  <c r="J59" i="8"/>
  <c r="AD59" i="8"/>
  <c r="AI55" i="8"/>
  <c r="AG55" i="8"/>
  <c r="AJ55" i="8"/>
  <c r="F58" i="8"/>
  <c r="E58" i="8"/>
  <c r="C60" i="8"/>
  <c r="G60" i="8"/>
  <c r="P60" i="8"/>
  <c r="E38" i="16"/>
  <c r="O57" i="8"/>
  <c r="AA57" i="8"/>
  <c r="X59" i="8"/>
  <c r="N59" i="8"/>
  <c r="AF59" i="8"/>
  <c r="L22" i="16"/>
  <c r="M60" i="8"/>
  <c r="W55" i="8"/>
  <c r="V56" i="8"/>
  <c r="AA56" i="8"/>
  <c r="Z60" i="8"/>
  <c r="AB55" i="8"/>
  <c r="Y60" i="8"/>
  <c r="R60" i="8"/>
  <c r="F39" i="16"/>
  <c r="U59" i="8"/>
  <c r="AE60" i="8"/>
  <c r="K23" i="16"/>
  <c r="I60" i="8"/>
  <c r="H60" i="8"/>
  <c r="D59" i="8"/>
  <c r="AH60" i="8"/>
  <c r="D39" i="16"/>
  <c r="J60" i="8"/>
  <c r="AD60" i="8"/>
  <c r="Q60" i="8"/>
  <c r="D35" i="16"/>
  <c r="E39" i="16"/>
  <c r="E40" i="16"/>
  <c r="E35" i="16"/>
  <c r="AI56" i="8"/>
  <c r="AG56" i="8"/>
  <c r="AJ56" i="8"/>
  <c r="O58" i="8"/>
  <c r="AA58" i="8"/>
  <c r="E59" i="8"/>
  <c r="F59" i="8"/>
  <c r="L23" i="16"/>
  <c r="X60" i="8"/>
  <c r="N60" i="8"/>
  <c r="AF60" i="8"/>
  <c r="K24" i="16"/>
  <c r="F35" i="16"/>
  <c r="D61" i="14"/>
  <c r="L5" i="16"/>
  <c r="W56" i="8"/>
  <c r="J23" i="16"/>
  <c r="V57" i="8"/>
  <c r="I61" i="14"/>
  <c r="K61" i="14"/>
  <c r="M61" i="14"/>
  <c r="D38" i="16"/>
  <c r="K5" i="16"/>
  <c r="E61" i="14"/>
  <c r="H61" i="14"/>
  <c r="R61" i="14"/>
  <c r="Q61" i="14"/>
  <c r="J5" i="16"/>
  <c r="N61" i="14"/>
  <c r="O61" i="14"/>
  <c r="F61" i="14"/>
  <c r="G61" i="14"/>
  <c r="J61" i="14"/>
  <c r="L61" i="14"/>
  <c r="S61" i="14"/>
  <c r="P61" i="14"/>
  <c r="AB56" i="8"/>
  <c r="U60" i="8"/>
  <c r="F38" i="16"/>
  <c r="F40" i="16"/>
  <c r="D60" i="8"/>
  <c r="O59" i="8"/>
  <c r="AA59" i="8"/>
  <c r="AI57" i="8"/>
  <c r="AG57" i="8"/>
  <c r="AJ57" i="8"/>
  <c r="F60" i="8"/>
  <c r="E60" i="8"/>
  <c r="F36" i="16"/>
  <c r="J24" i="16"/>
  <c r="L24" i="16"/>
  <c r="V58" i="8"/>
  <c r="AJ58" i="8"/>
  <c r="W57" i="8"/>
  <c r="AB57" i="8"/>
  <c r="AB58" i="8"/>
  <c r="K4" i="16"/>
  <c r="J4" i="16"/>
  <c r="D40" i="16"/>
  <c r="O60" i="8"/>
  <c r="AI58" i="8"/>
  <c r="AG58" i="8"/>
  <c r="W58" i="8"/>
  <c r="AB59" i="8"/>
  <c r="V59" i="8"/>
  <c r="E34" i="16"/>
  <c r="D34" i="16"/>
  <c r="F34" i="16"/>
  <c r="F37" i="16"/>
  <c r="L6" i="16"/>
  <c r="J6" i="16"/>
  <c r="K6" i="16"/>
  <c r="AI59" i="8"/>
  <c r="AG59" i="8"/>
  <c r="AJ59" i="8"/>
  <c r="W59" i="8"/>
  <c r="V60" i="8"/>
  <c r="AA60" i="8"/>
  <c r="AI60" i="8"/>
  <c r="AG60" i="8"/>
  <c r="AJ60" i="8"/>
  <c r="W60" i="8"/>
  <c r="AB60" i="8"/>
  <c r="F29" i="8"/>
  <c r="I29" i="8"/>
  <c r="G30" i="16"/>
  <c r="D36" i="16"/>
  <c r="D37" i="16"/>
  <c r="E36" i="16"/>
  <c r="E37" i="16"/>
  <c r="D30" i="16"/>
  <c r="K25" i="16"/>
  <c r="L25" i="16"/>
  <c r="J25"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Hubert Steiner</author>
  </authors>
  <commentList>
    <comment ref="G15" authorId="0" shapeId="0" xr:uid="{00000000-0006-0000-0400-000001000000}">
      <text>
        <r>
          <rPr>
            <b/>
            <sz val="8"/>
            <color indexed="81"/>
            <rFont val="Tahoma"/>
            <family val="2"/>
          </rPr>
          <t>Gewichteter Mischindex aus allen Betriebskosten</t>
        </r>
      </text>
    </comment>
  </commentList>
</comments>
</file>

<file path=xl/sharedStrings.xml><?xml version="1.0" encoding="utf-8"?>
<sst xmlns="http://schemas.openxmlformats.org/spreadsheetml/2006/main" count="825" uniqueCount="580">
  <si>
    <t xml:space="preserve"> </t>
  </si>
  <si>
    <t>%</t>
  </si>
  <si>
    <t>Min</t>
  </si>
  <si>
    <t>Max</t>
  </si>
  <si>
    <t>Übers.</t>
  </si>
  <si>
    <t>Unters.</t>
  </si>
  <si>
    <t>MWh</t>
  </si>
  <si>
    <t>S.Fehler</t>
  </si>
  <si>
    <t>CHF/MWh</t>
  </si>
  <si>
    <t>CHF</t>
  </si>
  <si>
    <t>CHF/kWhel</t>
  </si>
  <si>
    <t>CHF/kWh</t>
  </si>
  <si>
    <t>Tarif</t>
  </si>
  <si>
    <t>Tarif 1</t>
  </si>
  <si>
    <t>Tarif 2</t>
  </si>
  <si>
    <t>Tarif 3</t>
  </si>
  <si>
    <t>Tarifname</t>
  </si>
  <si>
    <t>Leistungstarif [CHF/kW]</t>
  </si>
  <si>
    <t>Tarif 4</t>
  </si>
  <si>
    <t>Administration</t>
  </si>
  <si>
    <t>[CHF]</t>
  </si>
  <si>
    <t>im Jahr</t>
  </si>
  <si>
    <t>kWh</t>
  </si>
  <si>
    <t>221
222
223
224</t>
  </si>
  <si>
    <t>231
232
233
234</t>
  </si>
  <si>
    <t>241
242
243
244</t>
  </si>
  <si>
    <t>Arbeitstarif [CHF/kWh a]</t>
  </si>
  <si>
    <t>Vertragslaufzeit [Jahre]</t>
  </si>
  <si>
    <r>
      <t>MWh</t>
    </r>
    <r>
      <rPr>
        <vertAlign val="subscript"/>
        <sz val="10"/>
        <rFont val="Arial"/>
        <family val="2"/>
      </rPr>
      <t>el</t>
    </r>
  </si>
  <si>
    <r>
      <t>kWh</t>
    </r>
    <r>
      <rPr>
        <vertAlign val="subscript"/>
        <sz val="10"/>
        <rFont val="Arial"/>
        <family val="2"/>
      </rPr>
      <t>el</t>
    </r>
  </si>
  <si>
    <t>Explications au sujet du modèle de rentabilité de QM Chauffages au bois</t>
  </si>
  <si>
    <t>Version: 5.1 (mai 2022)</t>
  </si>
  <si>
    <t>Explications</t>
  </si>
  <si>
    <t>Généralités au sujet de cet outil:
Exclusion de responsabilité
Malgré tout le soin apporté à l’élaboration de cet outil Excel, ses concepteurs ne peuvent donner aucune garantie concernant les résultats obtenus et les conclusions qui en sont tirées. Les simplifications et le mode de calcul retenus peuvent entraîner certaines «erreurs». L’outil ne distingue p. ex. pas si les paiements sont effectués en début ou en fin d’année, étant donné qu’une année est considérée comme une période globale.
Attention: Bien que l’outil affiche des messages d’alerte en cas de non respect de diverses limites de saisie, il n’est pas exclu que la saisie de valeurs erronées conduise à l’obtention d’un résultat final également erroné. Il appartient à l’utilisateur de l’outil d’évaluer de façon appropriée les conséquences d’un certain nombre d’hypothèses.
Formules:
Les feuilles de calcul de ce classeur sont protégées en écriture, mais l’ensemble des formules et calculs sont néanmoins visibles. Notez bien que toute modification peut entraîner des erreurs en d’autres emplacements et, par conséquent, à des assertions erronées de l’outil.
Analyse de sensibilité / calculs de simulation:
En faisant varier les paramètres de saisie et en enregistrant les résultats individuels des 
calculs de rentabilité, il est possible d’obtenir des informations concernant l’influence des 
paramètres individuels sur l’évolution économique du projet.
Feed-back:
L’équipe de QM Chauffages au bois sera ravie de toute suggestion d’amélioration ou idée concernant 
cet outil, que vous lui transmettrez à l’adresse info@qmholzheizwerke.ch</t>
  </si>
  <si>
    <t>Remerciements
Le présent outil a été élaboré sur mandat de SuisseEnergie.</t>
  </si>
  <si>
    <t>Onglets: Le fichier est divisé en plusieurs onglets
Dénomination: les dénominations des onglets distinguent également leur principale fonction:
I = Information (feuille comportant des informations et des explications sur l’utilisation du fichier)
E = Feuille de saisie (saisie de données requises pour les calculs)
B = Calcul
A = Feuille de sortie (présentation de résultats sélectionnés en vue de les imprimer ou d’exporter les données)</t>
  </si>
  <si>
    <t>Onglet «E1_Données de projet»
Saisie de données de projet, délais, coûts d’investissement, subventions, prêts, frais d’exploitation, etc.</t>
  </si>
  <si>
    <t>Les champs de saisie sont affichés sur fond jaune clair.</t>
  </si>
  <si>
    <t>Les champs de saisie avec des valeurs standard et/ou des calculs sont affichés sur fond bleu clair.
Notez bien que toute modification de ces champs peut entraîner des erreurs en d’autres emplacements et, par conséquent, à des assertions erronées de l’outil.</t>
  </si>
  <si>
    <t>Champs de saisie dans lesquels peuvent être reprises des données issues du fichier Excel QMCB Relevé de situation.
Remarque: pour éviter de copier les formules, utilisez la fonction «Coller - Valeurs».</t>
  </si>
  <si>
    <t>Champs de résultat dont le contenu peut être copié et inséré dans un fichier externe
Ces champs sont modifiables. Notez bien que toute modification de ces champs peut entraîner des erreurs en d’autres emplacements et, par conséquent, à des résultats erronés.</t>
  </si>
  <si>
    <t>Tous les montants en CHF doivent être indiqués hors TVA.</t>
  </si>
  <si>
    <t>Champ de saisie pour le nom et la désignation du projet et/ou de la variante</t>
  </si>
  <si>
    <t>Personne en charge de l’édition du modèle de rentabilité</t>
  </si>
  <si>
    <t>Avertissements: Un court texte explicatif apparaît dans le champ Avertissements en cas de saisie de valeurs non plausibles (p. ex. déperditions du réseau = 80 % ou similaire)</t>
  </si>
  <si>
    <t>Chapitre Quantité de chaleur, déperditions du réseau et informations générales sur le projet</t>
  </si>
  <si>
    <t>Quantité de chaleur vendue en MWh pour un degré de consommation de chaleur de 100 %. (Calculée à partir de la somme des consommateurs de chaleur de l’onglet «Consommateurs»)</t>
  </si>
  <si>
    <t>Déperditions du réseau de chaleur à distance (exigence QMCB ≤ 10 %). Rapport entre la différence entre chaleur produite et vendue d’une part et la quantité de chaleur vendue d’autre part. Pour les réseaux en cours d’extension, il convient d’indiquer au mieux une déperdition moyenne.</t>
  </si>
  <si>
    <t>Diminution annuelle des besoins de chaleur. Diminution annuelle moyenne des besoins de chaleur par des mesures d’efficacité (p.ex. Amélioration de l’enveloppe des bâtiments, de l’isolation) des consommateurs de chaleur depuis la mise en service. Cette valeur est prise en compte dans les besoins totaux de chaleur.</t>
  </si>
  <si>
    <t>Année de base pour les investissements: utilisée comme année 0 pour les calculs de rentabilité.</t>
  </si>
  <si>
    <t>Année de première fourniture de chaleur: année à partir de laquelle des recettes ont été générées. (Reprise de la première année de fourniture de chaleur dans l’onglet «Consommateurs»).</t>
  </si>
  <si>
    <t>Saisie des prix de l’énergie, frais d’exploitation et autres charges (dépenses importantes pour le projet)</t>
  </si>
  <si>
    <t>Prix d’achat du combustible biomasse en CHF/MWh d’énergie utile (mesurée sur le compteur de chaleur)</t>
  </si>
  <si>
    <t>Pourcentage de chaleur vendue générée à partir de biomasse.
100 % correspond à une installation monovalente, 85 % indique par exemple que 15 % des besoins annuels de chaleur sont fournis par une chaudière d’appoint à combustible fossile.</t>
  </si>
  <si>
    <t>Pourcentage de chaleur vendue produite à base d’énergie fossile: calculé à partir de la proportion de chaleur issue de la biomasse (point 122).</t>
  </si>
  <si>
    <t>Prix du combustible fossile utilisé (mazout ou gaz naturel) en CHF/MWh (d’énergie primaire). Si un combustible non fossile est utilisé pour couvrir les pointes de charge, il doit également être employé ici.</t>
  </si>
  <si>
    <t>Taux d’utilisation annuel de la chaudière d’appoint à combustible fossile.
Si une chaudière au gaz est intégrée pour couvrir les pointes de charge et que le prix en MWho est indiqué sous le point 124, il faut également tenir compte de la conversion de PCs en PCi (0.9).</t>
  </si>
  <si>
    <t>Part d’énergie auxiliaire (électricité) par rapport à la quantité de chaleur produite. Cette donnée est requise aussi bien pour la production que pour la distribution de chaleur.
Recommandation QMCB: la production de chaleur nécessite 1 - 1,5 % de la chaleur produite, la distribution de la chaleur consomme 0,5 - 1 % de la chaleur distribuée.</t>
  </si>
  <si>
    <t>Prix de l’électricité en CHF/kWh (y compris part des frais de raccordement, etc.) (Recommandation si le chiffre est inconnu: 0,2 CHF/kWhel).</t>
  </si>
  <si>
    <t>Coûts d'exploitation : frais de personnel pour l'utilisation, le nettoyage, l'entretien, sans les frais administratifs.
Valeur prescrite = valeur indicative QMH PHB : 1,5% des coûts d'investissement pour la production de chaleur (pts 151-153)</t>
  </si>
  <si>
    <t>Frais d'exploitation externes pour le ramonage, la mesure des émissions, les contrats de service, etc. (élimination des cendres si elle n'est pas comprise dans le prix du combustible)</t>
  </si>
  <si>
    <t>Frais d’entretien: pièces détachées, réparations (pourcentage de l’investissement selon QMCB, voir à partir du point 140).</t>
  </si>
  <si>
    <t>Frais annuels de loyer, de bail ou de propriété (introduire les frais effectifs)</t>
  </si>
  <si>
    <t>Autres frais annuels (administration, assurance, impôts, site internet, téléphonie, taxes publiques, ......, etc.)                                                                                                                                               Valeur par défaut : 1% du coûts d'investissement total (Valeur indicative QMBois Manuel de planification : 0.5–1.5%)</t>
  </si>
  <si>
    <t>Augmentation annuelle des prix en %: il est possible de saisir une valeur globale servant de prescription pour les hausses de prix individuelles dans l’onglet B1_Calculs (point 505).</t>
  </si>
  <si>
    <t>Taux d'intérêt nominal : taux d'intérêt nominal actuel</t>
  </si>
  <si>
    <t>Taux d'intérêt réel : calculé à partir du taux d'intérêt nominal (138) et de l'inflation moyenne (137)</t>
  </si>
  <si>
    <t>Structure de coûts</t>
  </si>
  <si>
    <t>Colonne de saisie des coûts d’investissement</t>
  </si>
  <si>
    <t>Frais d’entretien spéciaux: pourcentage des coûts d’investissement (voir aussi Manuel de planification QMCB)</t>
  </si>
  <si>
    <t>Durée d’amortissement des éléments de l’installation (voir aussi Manuel de planification QMCB)</t>
  </si>
  <si>
    <t>Coûts d’investissement</t>
  </si>
  <si>
    <t>Coûts de construction de la centrale de chauffe et de l’entrepôt à combustible</t>
  </si>
  <si>
    <t>Coûts des éléments de l’installation spécifiques au bois (chaudière complète)</t>
  </si>
  <si>
    <t>Coûts des éléments de l’installation spécifiques à la charge de pointe (chaudière à combustible fossile)</t>
  </si>
  <si>
    <t>Coûts des installations de chauffage, ventilation, climatisation, sanitaire et électriques (CVCSE)</t>
  </si>
  <si>
    <t>Coûts du réseau de chaleur, y compris génie civil</t>
  </si>
  <si>
    <t>Coûts pour les compteurs de chaleur et la régulation des consommateurs (propriété du réseau de chaleur), y compris les compteurs de chaleur des générateurs. Ce poste implique généralement des investissements de remplacement après une quinzaine d’années.</t>
  </si>
  <si>
    <t>Coûts liés aux stations de transfert de chaleur au niveau des consommateurs.
Part client, généralement remboursée au réseau de chaleur avec les frais uniques de raccordement (point 325). Ce poste n’implique généralement pas d’investissements de remplacement pour le réseau de chaleur.
Ce poste n’est pas inclus dans le calcul de la valeur résiduelle!</t>
  </si>
  <si>
    <t>Frais de planification et d’imprévus (durée d’amortissement moyenne).
Ce poste n’est pas inclus dans le calcul de la valeur résiduelle!</t>
  </si>
  <si>
    <t>Investissement total calculé pour le projet et la durée moyenne d’amortissement</t>
  </si>
  <si>
    <t>Répartition des investissements sur max. trois ans en % de l’investissement total (point 159).
Remarque: les frais d’entretien (point 124) sont échelonnés selon la même répartition. En cas de différence entre les frais d’entretien effectifs et les dépenses figurant au point 558, les pourcentages du point 142 doivent être adaptés en conséquence.</t>
  </si>
  <si>
    <t>Étape 1: L’année de démarrage du projet (point 114) est toujours l’année des premiers investissements: ce champ ne peut pas être modifié ; les investissements non effectués dans les années des points 162 + 163 sont réalisés durant l’année de démarrage.
(Formule: 100 % de l’investissement total - parts d’investissement des points 162+163)</t>
  </si>
  <si>
    <t>Étape 2: Année et part d’investissement de la deuxième étape. Par défaut, l’année suivant l’année de démarrage est sélectionnée.
Ce champ peut être modifié.
Attention: toute frappe dans ce champ supprime la formule!</t>
  </si>
  <si>
    <t>Étape 3: Année et part d’investissement de la troisième étape. Par défaut, la deuxième année suivant l’année de démarrage est sélectionnée.
Ce champ peut être modifié.
Attention: toute frappe dans ce champ supprime la formule!</t>
  </si>
  <si>
    <t>Informations sur les prêts et les crédits de financement du projet
Deux crédits / prêts peuvent être saisis.</t>
  </si>
  <si>
    <t>Total du montant financé par des fonds externes</t>
  </si>
  <si>
    <t>Durée du crédit ; ce calcul suppose des mensualités constantes sur toute la durée. La durée du crédit bancaire devrait être choisie aussi longue que possible (idéalement 20 voire 25 ans) et une possibilité de remboursement anticipé sans frais devrait être prévue dans le contrat. Ainsi, la mensualité due reste aussi faible que possible et, en cas de hausse de ses recettes, l’exploitant peut effectuer des versements anticipés et amortir son crédit plus rapidement.
Les crédits à durée indéterminée sans mensualités (p. ex. les hypothèques sans amortissement) sont saisies avec une durée de «0».</t>
  </si>
  <si>
    <t>Année de début du prêt. C’est l’année de déblocage du prêt pour le projet et où la première mensualité est due. Le paiement des intérêts intervient toujours l’année suivante.</t>
  </si>
  <si>
    <t>Taux d’intérêt annuel brut du crédit (avant déduction de l’impôt anticipé) sur l’ensemble de sa durée (taux d’intérêt moyen)</t>
  </si>
  <si>
    <t>Informations sur les subventions</t>
  </si>
  <si>
    <t>Deux «packs» de subventions uniques (p. ex. subvention cantonale, Fondation pour le climat, Aide Suisse aux Montagnards, etc.) avec des années de versement différentes peuvent être saisis.</t>
  </si>
  <si>
    <t>Subvention unique du premier pack</t>
  </si>
  <si>
    <t>Année de versement de la subvention du premier pack. Il est conseillé d’intégrer le versement au calcul au plus tôt après la mise en service et idéalement à l’issue de la première année d’exploitation. Un retard de versement entraîne des intérêts supplémentaires pour les fonds externes nécessaires dans l’intervalle.</t>
  </si>
  <si>
    <t>Subvention unique du deuxième pack</t>
  </si>
  <si>
    <t>Année de versement de la subvention du deuxième pack</t>
  </si>
  <si>
    <t>Parallèlement aux subventions uniques, il est également possible de saisir une subvention annuelle temporaire (p. ex. KliK)</t>
  </si>
  <si>
    <t>Versement annuel moyen durant la période subventionnée.</t>
  </si>
  <si>
    <t>Durée des subventions annuelles (nombre de versements)</t>
  </si>
  <si>
    <t>Année du premier versement. Merci de tenir compte de la durée de traitement pour le calcul des versements annuels. Il est conseillé de compter sur un premier versement au plus tôt l’année suivant la mise en service.</t>
  </si>
  <si>
    <t>Valeurs calculées: valeurs numériques pouvant être calculées à partir des informations saisies plus haut et servant au contrôle de saisie et à la représentation du calcul des quantités d’énergie.</t>
  </si>
  <si>
    <t>Quantité annuelle maximale de chaleur produite: calculée d’après la quantité annuelle de chaleur vendue (point 111) et les déperditions du réseau (point 112)</t>
  </si>
  <si>
    <t>Quantité de chaleur utile produite avec de la biomasse: calculée d’après la part de biomasse (point 122)</t>
  </si>
  <si>
    <t>Besoin d’énergie primaire fossile pour la couverture des pointes: calculé d’après la part de combustible fossile (point 123) et le taux d’utilisation annuel de la chaudière d’appoint (point 125).</t>
  </si>
  <si>
    <t>Énergie électrique requise pour le fonctionnement de l’installation: pourcentage calculé d’après la quantité de chaleur totale (point 181) et la part d’énergie auxiliaire (point 126).</t>
  </si>
  <si>
    <t>Les coûts énergétiques annuels de la biomasse sont calculés d’après l’énergie utile de la biomasse (point 182) et les coûts de combustible pour la biomasse (point 121)</t>
  </si>
  <si>
    <t>Les coûts annuels d’achat de l’énergie fossile de pointe sont calculés d’après l’énergie primaire fossile requise (point 183) et les coûts d’achat de l’énergie fossile (point 124).</t>
  </si>
  <si>
    <t xml:space="preserve">Consommation électrique pour l’énergie auxiliaire: calculée d’après le besoin d’énergie auxiliaire (point 184) et le prix de l’électricité (point 127). </t>
  </si>
  <si>
    <t>Coût d’investissement global du projet (centrale de chauffe, réseau de chaleur, stations de transfert de chaleur, etc.)</t>
  </si>
  <si>
    <t>Montant total des subventions: calculé d’après les subventions uniques (points 172/174), les subventions annuelles (point 177) et la durée de versement de ces dernières (point 178)</t>
  </si>
  <si>
    <t>Coûts annuels = coûts annuels moyens sur la durée du projet
Coûts de production de chaleur = coûts spécifiques par kWh de chaleur utile fournie, calculés à partir des coûts annuels divisés par la chaleur utile fournie (pt 111)</t>
  </si>
  <si>
    <t>Coûts annuels calculés à partir de la capitalisation des coûts d'investissement pour la distribution de chaleur, y compris les stations domestiques, composée des points 155-157 et de 50% des coûts de planification (point 158), du taux d'intérêt réel et de la durée d'amortissement.</t>
  </si>
  <si>
    <t>Frais d'entretien et de maintenance pour la production de chaleur
Frais d'entretien calculés à partir des investissements des pts 151-154 + 50% du pt 158 et des frais d'entretien spécifiques (pt 142)
Frais d'entretien calculés à partir de la part des frais d'entretien pour la production de chaleur dans les frais d'entretien totaux des pts 130, 131, 135 et 136.</t>
  </si>
  <si>
    <t>Frais d'entretien et de maintenance pour la distribution de chaleur
Frais d'entretien calculés à partir des investissements des pts 155-157 + 50% du pt 158 et des frais d'entretien spécifiques (pt 142)
Frais d'entretien calculés à partir de la part des frais d'entretien pour la distribution de chaleur dans les frais d'entretien totaux des pts 130, 131, 135 et 136.</t>
  </si>
  <si>
    <t>Coûts annuels de l'énergie calculés à partir des pts 185-187, respectivement en tenant compte de la subvention incluant pt 199</t>
  </si>
  <si>
    <t>Somme des coûts annuels et des coûts de production de chaleur des pts 193-197, respectivement en tenant compte de la subvention incluant pt 199</t>
  </si>
  <si>
    <t>Réduction des coûts annuels par suite des subventions. La somme des subventions des pts 172, 174 et 177 x 178 capitalisés pour une durée de 25 ans.</t>
  </si>
  <si>
    <t>Onglet «E2_Prix de la chaleur»
Informations sur les prix de la chaleur et la tarification</t>
  </si>
  <si>
    <t>Champ pour le nom et la désignation du projet et/ou de la variante: repris du point 106.</t>
  </si>
  <si>
    <t>Personne en charge: repris du point 107</t>
  </si>
  <si>
    <t>Structure tarifaire: des prix distincts peuvent être saisis pour quatre niveaux de tarifs</t>
  </si>
  <si>
    <t>Niveau tarifaire 1: p. ex. petits clients avec une consommation de chaleur et une puissance requise réduites.
Saisir un nom pour le niveau tarifaire 1 dans le champ correspondant.
Le champ «% de la quantité de chaleur» indique la part de la quantité de chaleur de ce niveau tarifaire, calculée à l’aide des informations de l’onglet E3_Consommateurs.</t>
  </si>
  <si>
    <t>Prix de base du niveau tarifaire 1: prix de base en CHF par an et par kW de puissance thermique souscrite conformément au contrat de fourniture de chaleur.
Pour effectuer un calcul sans prix de base, indiquer zéro dans ce champ.
Les prix de base par kW de puissance installée diminuent en général légèrement au fur et à mesure que la puissance augmente.</t>
  </si>
  <si>
    <t>Prix de consommation du niveau tarifaire 1: prix de consommation en CHF par kWh pour la quantité de chaleur vendue.</t>
  </si>
  <si>
    <t xml:space="preserve">Durée contractuelle du niveau tarifaire 1: durée contractuelle habituelle (moyenne) des contrats de fourniture de chaleur de ce niveau tarifaire. À l’issue de cette durée, un nouveau contrat peut être négocié avec d’autres tarifs. Les contrats étant en général reconduits tacitement, leur échéance n’a pas d’influence sur les calculs de l’onglet «B1_Calculs».
La durée contractuelle est utilisée pour le calcul des coûts du capital des clients de chaleur (point 330). </t>
  </si>
  <si>
    <t>Niveau tarifaire 2: p. ex. clients professionnels avec une consommation de chaleur et une puissance requise moyenne.
Saisir un nom pour le niveau tarifaire 2 dans le champ correspondant.
La saisie du prix de base, du prix de consommation et de la durée du contrat s’effectue comme pour le niveau tarifaire 1 (voir points 211 - 214)</t>
  </si>
  <si>
    <t>Niveau tarifaire 3: p. ex. organismes publics avec une consommation de chaleur et une puissance requise importantes.
Saisir un nom pour le niveau tarifaire 3 dans le champ correspondant.
La saisie du prix de base, du prix de consommation et de la durée du contrat s’effectue comme pour le niveau tarifaire 1 (voir points 211 - 214)</t>
  </si>
  <si>
    <t>Niveau tarifaire 4: p. ex. clients industriels avec une très importante consommation de chaleur et une forte puissance requise.
Saisir un nom pour le niveau tarifaire 4 dans le champ correspondant.
La saisie du prix de base, du prix de consommation et de la durée du contrat s’effectue comme pour le niveau tarifaire 1 (voir points 211 - 214)</t>
  </si>
  <si>
    <t>Onglet «E3_Consommateurs»
Informations sur les consommateurs du réseau de chaleur (clients de chaleur)</t>
  </si>
  <si>
    <t>Indications concernant les consommateurs
Ce tableau permet de saisir les données correspondant à chaque client de chaleur. Les informations correspondant à celles du relevé de situation Excel de QM Chauffages au bois (points 311 - 314) peuvent être reprises de celui-ci. Pour ce faire, copier les lignes concernées et les coller dans les cellules correspondantes du modèle de rentabilité avec «Coller les valeurs».
Attention: contrairement au fichier Excel Relevé de situation, ce tableau permet de saisir au maximum 180 objets.
Remarque: pour simplifier la saisie des données, il est également possible de saisir les valeurs cumulées des phases d’extension annuelles.</t>
  </si>
  <si>
    <t>Numéro: numérotation consécutive (possibilité de reprise du tableau Excel Relevé de situation).
Remarque: pour éviter de copier les formules, utilisez la fonction «Coller - Valeurs».</t>
  </si>
  <si>
    <t>Désignation: trois lignes pour la dénomination de l’objet ou de l’étape (possibilité de reprise du tableau Excel Relevé de situation).
Remarque: pour éviter de copier les formules, utilisez la fonction «Coller - Valeurs».</t>
  </si>
  <si>
    <t>Besoin total de chaleur du client comprenant le besoin de chaleur ambiante, d’eau chaude et de chaleur industrielle (à partir du relevé de situation V34, les valeurs peuvent être directement reprises de l’onglet «Consommateurs». Pour les relevés de situation plus anciens, il est possible de reprendre le total des valeurs individuelles).</t>
  </si>
  <si>
    <t>Puissance souscrite conformément au contrat de fourniture de chaleur.
Attention: indiquer ici la puissance souscrite, nécessaire à la facturation de la taxe de base. Cette valeur peut être différente de puissance requise calculée d’après le relevé de situation Excel!</t>
  </si>
  <si>
    <t>Date de raccordement: part du besoin total de chaleur (point 320) requise l’année du raccordement (point 323).
Exemple: si le raccordement intervient en début de période de chauffage, le besoin de chaleur de l’année de raccordement atteint env. 40 %. Le calcul est donc basé sur un besoin de chaleur de 40 % l’année du raccordement et de 100 % l’année suivante.</t>
  </si>
  <si>
    <t>Année de raccordement: première année calendaire où le consommateur est approvisionné en chaleur.</t>
  </si>
  <si>
    <t>Niveau tarifaire du prix de la chaleur pour le consommateur (champ de sélection: les niveaux tarifaires définis dans E2_Prix de la chaleur peuvent être sélectionnés).</t>
  </si>
  <si>
    <t>Coûts de raccordement: coûts de raccordement uniques versés par le consommateur au réseau de chaleur. Ces coûts sont comptabilisés comme des recettes pour le réseau de chaleur l’année du raccordement (point 323).</t>
  </si>
  <si>
    <t>Coûts du capital annuels (sans intérêts) pour le consommateur: calculés d’après les coûts de raccordement (point 325) et la durée du contrat de fourniture de chaleur dans le modèle de tarification approprié (points 214, 224, 234 et 244)</t>
  </si>
  <si>
    <t>Coûts de base annuels pour le consommateur: calculés d’après la puissance souscrite et les coûts de base du niveau tarifaire sélectionné</t>
  </si>
  <si>
    <t>Coûts énergétiques annuels pour le consommateur: calculés d’après les besoins annuels de chaleur et le prix de consommation du niveau tarifaire sélectionné</t>
  </si>
  <si>
    <t>Coûts de base et énergétiques annuels pour le consommateur: total des points 331 + 332 (ce montant est comptabilisé comme recette annuelle pour le réseau de chaleur)</t>
  </si>
  <si>
    <t>Coûts annuels pour le consommateur: total des coûts de capital, de base et énergétiques (points 300-332)</t>
  </si>
  <si>
    <t>Prix de revient de la chaleur pour les consommateurs: calculé d’après les coûts annuels (point 334) et la consommation de chaleur (point 320).</t>
  </si>
  <si>
    <t>Avertissement: si des alertes sont encore actives dans les feuilles de saisie E1 et E2, une «alerte globale» est affichée dans ce champ.</t>
  </si>
  <si>
    <t>Colonne Augmentation: par défaut, la hausse de prix générale, saisie dans l’onglet E1_Données de projet (point 137) est utilisée.
Il est toutefois possible d’utiliser une hausse de prix annuelle distincte pour chaque poste de coûts (points 512-519). Au point 520 (prix de la chaleur), l’augmentation est calculée sur la base de la valeur moyenne pondérée. Cette valeur peut être modifiée si nécessaire.
Attention: le remplacement de la valeur calculée supprime la formule enregistrée!</t>
  </si>
  <si>
    <t>Synthèse des coûts d’exploitation: les valeurs affichées correspondent aux coûts totaux théoriques en cas d’extension complète (raccordement à 100 %) la première année d’exploitation.</t>
  </si>
  <si>
    <t xml:space="preserve">Total des coûts d’exploitation: calculé en additionnant les points 512-519 ; l’augmentation des prix correspond à la valeur moyenne pondérée des hausses de prix des points 512-519 </t>
  </si>
  <si>
    <t>Combustible biomasse: voir point 185</t>
  </si>
  <si>
    <t>Combustible fossile: voir point 186</t>
  </si>
  <si>
    <t>Électricité: voir point 187</t>
  </si>
  <si>
    <t>Coûts d’exploitation: voir point 130</t>
  </si>
  <si>
    <t>Administration: voir point 131</t>
  </si>
  <si>
    <t>Frais d’entretien: voir point 132</t>
  </si>
  <si>
    <t>Frais de loyer / bail / terrain: voir point 135</t>
  </si>
  <si>
    <t>Autres (assurance, etc.): voir point 136</t>
  </si>
  <si>
    <t>Augmentation du prix de vente de la chaleur: reprend la valeur moyenne pondérée des hausses de prix des points 512-519 (la valeur peut être modifiée ; le remplacement de la valeur calculée supprime la formule enregistrée!)</t>
  </si>
  <si>
    <t>Données du projet: caractéristiques principales du projet
Début du projet: année de base pour les investissements: utilisée comme année 0 pour les calculs de rentabilité (voir aussi point 114)</t>
  </si>
  <si>
    <t>Fonds propres maximum requis l’année concernée pour couvrir l’ensemble des coûts.</t>
  </si>
  <si>
    <t>Calcul des dépenses et des recettes annuelles du projet sur une durée de 25 ans.
Dans le cadre du calcul de la valeur actuelle nette, les «recettes» et les «dépenses» des différentes périodes doivent être mises en regard.
Remarque: les calculs sont effectués sans rémunération des fonds propres.</t>
  </si>
  <si>
    <t>Année: dans cet outil de calcul, 1 période = 1 année d’exploitation.</t>
  </si>
  <si>
    <t>Besoin de chaleur des consommateurs actuellement raccordés, avec pourcentage de majoration pour les déperditions du réseau (point 112)</t>
  </si>
  <si>
    <t>Charge de la centrale de chauffe et du réseau de chaleur au stade d’extension finale.</t>
  </si>
  <si>
    <t>Coûts du combustible biomasse: hausse de prix incluse dans le calcul</t>
  </si>
  <si>
    <t>Coûts des combustibles fossiles: hausse de prix incluse dans le calcul</t>
  </si>
  <si>
    <t>Coût de l’électricité pour l’énergie auxiliaire: hausse de prix incluse dans le calcul</t>
  </si>
  <si>
    <t>Coûts d’exploitation et d’administration: hausse de prix incluse dans le calcul, les coûts ne sont calculés qu’à partir de la première année de fourniture de chaleur</t>
  </si>
  <si>
    <t>Frais d’entretien: voir aussi point 132, hausse de prix incluse dans le calcul, les coûts ne sont calculés qu’à partir de la première année de fourniture de chaleur.
Remarque: dans l’outil, les frais d’entretien sont échelonnés selon la même répartition que les coûts d’investissement (voir point 160, Échelonnement du projet). En cas de différence entre les frais d’entretien effectifs et les dépenses figurant au point 558, les pourcentages du point 142 doivent être adaptés en conséquence ou des montants correctifs doivent être saisis dans la colonne «Surcoût» (point 560).</t>
  </si>
  <si>
    <t>Autres coûts et dépenses de loyer et de bail: hausse de prix incluse dans le calcul, ces coûts s’appliquent dès la première année</t>
  </si>
  <si>
    <t>Les autres dépenses ou corrections de dépenses calculées (différences) peuvent être saisies dans cette colonne. Pour un maximum de clarté, l’en-tête de cette colonne peut être modifié.
Remarque: ces dépenses ne sont pas comptabilisées comme une plus-value dans la valeur de l’installation.
Attention VAN: ces dépenses sont répertoriées dans l’onglet «A2_Données VAN», sous le point 930. Elles doivent être transmises aux positions adéquates!</t>
  </si>
  <si>
    <t>Dépenses effectives: cette colonne permet de saisir les coûts annuels effectifs pour le calcul permanent des coûts a posteriori.
Si celle colonne comporte une valeur &gt; 0, les saisies des colonnes 554-560 sont ignorées pour la suite des analyses de l’année concernée.
Attention VAN: ces dépenses ne sont pas reprises dans l’onglet «A2_Données VAN».</t>
  </si>
  <si>
    <t>Coûts des intérêts des prêts et crédits
Le premier paiement d’intérêts est dû l’année de versement des fonds</t>
  </si>
  <si>
    <t>Amortissement des investissements (point 141) pendant la durée d’amortissement (point 143).
Remarque: les investissement de remplacement prévus sont également amortis.</t>
  </si>
  <si>
    <t>Total des charges du réseau de chaleur</t>
  </si>
  <si>
    <t>Recettes issues de la vente de chaleur à distance: coûts de base et vente de chaleur</t>
  </si>
  <si>
    <t>Les contributions de raccordement des consommateurs sont comptabilisées l’année du raccordement</t>
  </si>
  <si>
    <t>Versement de subventions d’après les saisies de l’onglet E1_Données de projet
Les valeurs peuvent être modifiées.
Attention: le remplacement des formules supprime le calcul</t>
  </si>
  <si>
    <t>Recettes supplémentaires - colonne pour la saisie libre (l’intitulé de la colonne peut être modifié).
Attention VAN: ces recettes sont répertoriées dans l’onglet «A2_Données VAN», sous le point 930. Elles doivent être transmises aux positions adéquates!</t>
  </si>
  <si>
    <t>Recettes effectives: cette colonne permet de saisir les recettes annuelles effectives pour le calcul permanent a posteriori.
Si celle colonne comporte une valeur &gt; 0, les saisies des colonnes 571-574 sont ignorées pour la suite des analyses de l’année concernée.
Attention VAN: ces recettes ne sont pas automatiquement reprises dans l’onglet «A2_Données VAN».</t>
  </si>
  <si>
    <t>Recettes totales du projet</t>
  </si>
  <si>
    <t>Compte d’exploitation: bénéfice / perte annuel(le) sur dépenses (point 564) et recettes (point 576)</t>
  </si>
  <si>
    <t>Compte d’exploitation: cumul excédent / déficit</t>
  </si>
  <si>
    <t xml:space="preserve">Investissements: la première année, l’investissement initial est comptabilisé proportionnellement (point 161) dans cette colonne. Les investissements suivants sont comptabilisés au prorata dans les années correspondantes.
Les investissements de remplacement sont réinvestis à l’issue de la durée d’utilisation (point 143) en incluant l’augmentation générale des prix (point 137). </t>
  </si>
  <si>
    <t>Crédits / prêts: le versement des crédits et des prêts est comptabilisé l’année du versement.</t>
  </si>
  <si>
    <t>Amortissement des fonds externes sur la durée des crédits / prêts.
Remarque: les prêts sans durée ne sont pas amortis.</t>
  </si>
  <si>
    <t>Cashflow: liquidités (entrées/sorties nettes) issues des recettes totales (point 576) + remboursements de prêts (point 581) après déduction des dépenses totales (point 564) hors amortissements (point 563), investissements (point 580) et amortissement des fonds externes (point 582)</t>
  </si>
  <si>
    <t>Cash-flow cumulé</t>
  </si>
  <si>
    <t>Année d’exploitation: année de mise en service (point 115) = an 1 (informatif). L’échéance des investissements de remplacement est calculé sur cette base.</t>
  </si>
  <si>
    <t>Solde du crédit (informatif) - Calcul net du solde du crédit, sans frais bancaires, frais de mise en place, etc.
Formatage conditionnel: si le solde du crédit n’est pas garanti par la valeur résiduelle de l’installation, ce champ apparaît sur fond rouge.</t>
  </si>
  <si>
    <t>Valeur résiduelle de l’installation en tenant compte de l’amortissement
La valeur résiduelle est calculée d’après la part d’investissement proportionnelle et l’amortissement correspondant.
Remarque: les coûts des postes intérieurs et de la planification ne sont pas inclus.</t>
  </si>
  <si>
    <t>Rémunération de l’investissement (point 190) en tenant compte de la valeur résiduelle de l’installation</t>
  </si>
  <si>
    <t xml:space="preserve">Diagramme représentant l’évolution économique au cours des périodes 1 à 25. </t>
  </si>
  <si>
    <t>Diagramme représentant l’évolution de l’état du crédit et de la valeur résiduelle de l’installation au cours des périodes 1 à 25. 
Remarque: pour garantir le crédit, la valeur résiduelle ne doit pas être inférieure au solde du crédit.</t>
  </si>
  <si>
    <r>
      <rPr>
        <b/>
        <sz val="10"/>
        <rFont val="Arial"/>
        <family val="2"/>
      </rPr>
      <t>Onglet «B1_Calculs»</t>
    </r>
    <r>
      <rPr>
        <sz val="10"/>
        <rFont val="Arial"/>
        <family val="2"/>
      </rPr>
      <t xml:space="preserve">
Feuille de calcul: Représentation de l’évolution financière simplifiée du projet sur 25 ans.
Les sections Coûts d’exploitation et Recettes se rapportent à la première année d’exploitation et à un taux d’utilisation de 100 % (qui n’est généralement pas encore atteint!). Ces données doivent contribuer à une meilleure appréciation des dépenses et des recettes à prévoir. 
Les procédés de calcul dynamique des investissements tiennent compte de la date de versement des recettes et des dépenses individuelles en fin d’année.
</t>
    </r>
  </si>
  <si>
    <t>Chaudières et installations: somme des points 152, 153 et 154</t>
  </si>
  <si>
    <t>Réseau de chaleur, génie civil et postes intérieurs, y compris mesures thermiques: somme des points 155 à 157</t>
  </si>
  <si>
    <t>Financements externes et subventions: synthèse</t>
  </si>
  <si>
    <t>Coûts annuels: l’évaluation s’effectue d’une part pour l’année de mise en service (point 115), d’autre part pour une année au choix dans la période considérée.</t>
  </si>
  <si>
    <t>Coûts énergétiques: somme des points 554, 555 et 556 (Attention: cette évaluation n’est pas adaptée si des dépenses effectives sont saisies dans le champ correspondant du point 562!)</t>
  </si>
  <si>
    <t>Exploitation et entretien: somme des points 557, 558, 559 et 560
Attention: cette évaluation n’est pas adaptée si des dépenses effectives sont saisies dans le champ correspondant du point 561!</t>
  </si>
  <si>
    <t>Rémunération et amortissement: somme des points 562 et 563</t>
  </si>
  <si>
    <t>Total des dépenses: somme des points 621 à 623
Attention: cette évaluation n’est pas adaptée si des dépenses effectives sont saisies dans le champ correspondant du point 562!</t>
  </si>
  <si>
    <t>Vente de chaleur: somme des points 571 et 572
Attention: cette évaluation n’est pas adaptée si des dépenses effectives sont saisies dans le champ correspondant du point 575!</t>
  </si>
  <si>
    <t>Subventions et autres: somme des points 573 et 574
Attention: cette évaluation n’est pas adaptée si des dépenses effectives sont saisies dans le champ correspondant du point 575!</t>
  </si>
  <si>
    <t>Total des recettes: somme des points 625 et 626
Attention: cette évaluation n’est pas adaptée si des dépenses effectives sont saisies dans le champ correspondant du point 575!</t>
  </si>
  <si>
    <t>Évaluations en matière d’énergie: Les évaluations sont effectuées pour les mêmes périodes que celles décrites au point 620</t>
  </si>
  <si>
    <t>Besoin de chaleur des consommateurs raccordés à l’heure actuelle</t>
  </si>
  <si>
    <t>Coût moyen sur la base de la quantité de chaleur vendue en CHF/MWh: calculé d’après les dépenses totales (point 564) et la chaleur vendue (point 651)</t>
  </si>
  <si>
    <t>Évolution de la charge du réseau pendant la durée du projet (graphique)</t>
  </si>
  <si>
    <t>Retour sur investissement: L’évaluation se base d’une part sur les capitaux propres non rémunérés et d’autre part sur une rémunération sélectionnable.</t>
  </si>
  <si>
    <t>Année de comptabilisation de la rémunération de l’investissement indiquée au point 660.</t>
  </si>
  <si>
    <t>Remarques: champ permettant la saisie de remarques et de commentaires.</t>
  </si>
  <si>
    <r>
      <rPr>
        <b/>
        <sz val="10"/>
        <rFont val="Arial"/>
        <family val="2"/>
      </rPr>
      <t>Onglet «A1_Résultats»</t>
    </r>
    <r>
      <rPr>
        <sz val="10"/>
        <rFont val="Arial"/>
        <family val="2"/>
      </rPr>
      <t xml:space="preserve">
Cet onglet récapitule et évalue les principaux résultats</t>
    </r>
  </si>
  <si>
    <r>
      <rPr>
        <b/>
        <sz val="10"/>
        <rFont val="Arial"/>
        <family val="2"/>
      </rPr>
      <t>Coûts d’investissement</t>
    </r>
    <r>
      <rPr>
        <sz val="10"/>
        <rFont val="Arial"/>
        <family val="2"/>
      </rPr>
      <t>: synthèse</t>
    </r>
  </si>
  <si>
    <t>Onglet KliK Paramètres de saisie</t>
  </si>
  <si>
    <t>Clients clés: Les données des colonnes «Désignation», «Puissance» et «Besoins annuels de chaleur» sont reprises de l’onglet «E3_Consommateurs». La colonne «Type de bâtiment &amp; caractéristiques de consommation» nécessite encore un suivi manuel.
Attention: l’outil KliK ne propose que 15 consommateurs. Les 15 premiers consommateurs sont donc repris. Si les consommateurs sont plus nombreux, il convient de les regrouper pour couvrir l’ensemble de la consommation.</t>
  </si>
  <si>
    <t>Clients clés: Les données de la colonne «Année de raccordement» sont reprises de l’onglet «E3_Consommateurs». La colonne «Puissance en pleine configuration» reprend les valeurs de la colonne «Puissance» du point 911. Les valeurs peuvent être modifiées.
Attention: toute frappe dans cette cellule supprime la formule.</t>
  </si>
  <si>
    <t>Onglet KliK Consommation de chaleur ; section Évolution de référence</t>
  </si>
  <si>
    <t>Consommation de chaleur: Le besoin de chaleur utile est repris de l’onglet «E3_Consommateurs» en fonction de la date de raccordement
À la différence du présent outil, la période considérée ne couvre que 15 ans.</t>
  </si>
  <si>
    <t>Consommation d’électricité: Le besoin d’électricité en guise d’énergie auxiliaire est repris de l’onglet «B1_Calculs» (point 556).</t>
  </si>
  <si>
    <t>Réseau de chaleur à distance (40 ans): Les coûts d’investissement pour le réseau de chaleur sont repris de l’onglet «B1_Calculs». La répartition des coûts annuels Réseau de chaleur à distance / Centrale de chauffe est effectuée proportionnellement au coût d’investissement total.
Attention: Les dépenses de la colonne «Autres charges» (point 651) ne sont pas automatiquement reprises dans l’onglet «A2_Données VAN». Elles doivent être transmises manuellement aux positions adéquates!</t>
  </si>
  <si>
    <t>Centrale de chauffe ou système de chaleur décentralisé (15 ans): Les coûts d’investissement pour la centrale de chauffe sont repris de l’onglet «B1_Calculs». La répartition des coûts annuels Réseau de chaleur à distance / Centrale de chauffe est effectuée proportionnellement au coût d’investissement total.
Attention: Les dépenses de la colonne «Autres charges» (point 651) ne sont pas automatiquement reprises dans l’onglet «A2_Données VAN». Elles doivent être transmises manuellement aux positions adéquates!</t>
  </si>
  <si>
    <t>Exploitation et entretien: Les coûts annuels d’exploitation et d’entretien sont repris de l’onglet «B1_Calculs» (points 557, 558 et 559).
Attention: Les dépenses de la colonne «Autres charges» (point 651) ne sont pas automatiquement reprises dans l’onglet «A2_Données VAN». Elles doivent être transmises manuellement aux positions adéquates!</t>
  </si>
  <si>
    <t>Coûts énergétiques: Les coûts énergétiques sont repris de l’onglet «B1_Calculs» (points 554, 555 et 556).
Attention: Les dépenses de la colonne «Autres charges» (point 651) ne sont pas automatiquement reprises dans l’onglet «A2_Données VAN». Elles doivent être transmises manuellement aux positions adéquates!</t>
  </si>
  <si>
    <t>Contributions de raccordement / revenus exceptionnels: Les contributions de raccordement sont reprises de l’onglet «B1_Calculs» (point 572).
Attention: Les dépenses de la colonne «Autres charges» (point 651) ne sont pas automatiquement reprises dans l’onglet «A2_Données VAN». Elles doivent être transmises manuellement aux positions adéquates!</t>
  </si>
  <si>
    <t>Ventes de chaleur / revenus récurrents: Les recettes issues de la vente de chaleur sont reprises de l’onglet «B1_Calculs» (point 571).
Attention: Les dépenses de la colonne «Autres charges» (point 651) ne sont pas automatiquement reprises dans l’onglet «A2_Données VAN». Elles doivent être transmises manuellement aux positions adéquates!</t>
  </si>
  <si>
    <t>Subventions de tiers (canton, Confédération, commune): Les versements de subventions uniques sont repris de l’onglet «E1_Données de projet» (points 172 et 174) et reportés sur l’année de versement correspondante (points 173 et 175).
Remarque: les subventions pluriannuelles (hors montants KliK) doivent être reportées manuellement!</t>
  </si>
  <si>
    <t>Dépenses et recettes non prises en compte:
Les montants des colonnes «Charges additionnelles» (point 561) et «Recettes additionnelles» (point 574) sont mentionnés ici. Les lignes correspondant à ces montants n’étant pas définies, ceux-ci doivent être reportés manuellement dans les champs appropriés avant l’exportation.</t>
  </si>
  <si>
    <r>
      <rPr>
        <b/>
        <sz val="10"/>
        <rFont val="Arial"/>
        <family val="2"/>
      </rPr>
      <t>Onglet Données VAN</t>
    </r>
    <r>
      <rPr>
        <sz val="10"/>
        <rFont val="Arial"/>
        <family val="2"/>
      </rPr>
      <t xml:space="preserve">
Modèle d’exportation pour calculateur de VAN: cet onglet réunit les données issues de l’outil, requises pour le calcul de la VAN. La présentation est adaptée à KliK, l’«outil de justification de l’additionnalité de projets de chaleur à distance» (version 3.2 du 10 février 2016).
Les informations destinées à l’outil KliK qui ne peuvent pas être reprises du présent fichier ne sont pas contenues dans l’exportation.
Les modifications dans l’outil ou dans d’autres vues ne sont pas automatiquement adaptées par l’outil de calcul de rentabilité QMCB.</t>
    </r>
  </si>
  <si>
    <t>Unités</t>
  </si>
  <si>
    <t>Mégawatt-heure thermique, c’est-à-dire chaleur</t>
  </si>
  <si>
    <t>Kilowatt-heure thermique, c’est-à-dire chaleur</t>
  </si>
  <si>
    <t>Mégawatt-heure électrique, c’est-à-dire électricité</t>
  </si>
  <si>
    <t>Kilowatt-heure électrique, c’est-à-dire électricité</t>
  </si>
  <si>
    <t>année</t>
  </si>
  <si>
    <t>francs suisses</t>
  </si>
  <si>
    <t>pour cent</t>
  </si>
  <si>
    <t>an</t>
  </si>
  <si>
    <t>Abréviations</t>
  </si>
  <si>
    <t>année précédente</t>
  </si>
  <si>
    <t>courant/courante</t>
  </si>
  <si>
    <t>excédent</t>
  </si>
  <si>
    <t>AP</t>
  </si>
  <si>
    <t>cour.</t>
  </si>
  <si>
    <t>exc.</t>
  </si>
  <si>
    <t>QM Chauffages au bois - Modèle de rentabilité - Données de projet</t>
  </si>
  <si>
    <t>(hors TVA)</t>
  </si>
  <si>
    <t>Projet/Variante :</t>
  </si>
  <si>
    <t>Saisi par :</t>
  </si>
  <si>
    <t>Avertissements
Remarques :</t>
  </si>
  <si>
    <t>Quantité de chaleur, réseau, lancement du projet</t>
  </si>
  <si>
    <t>Prix d'achat de l'énergie, frais d'exploitation et autres charges</t>
  </si>
  <si>
    <t>Investissements, amortissement, etc.</t>
  </si>
  <si>
    <t>Coûts d'investissement</t>
  </si>
  <si>
    <t>Échelonnement des investissements</t>
  </si>
  <si>
    <t>Financement externe</t>
  </si>
  <si>
    <t>Subventions</t>
  </si>
  <si>
    <t>Valeurs calculées</t>
  </si>
  <si>
    <t>Coûts annuels / Coûts de production de chaleur</t>
  </si>
  <si>
    <t>(sans subventions)</t>
  </si>
  <si>
    <t>Champ de saisie</t>
  </si>
  <si>
    <t>Valeur standard ou calcul (modifiable)</t>
  </si>
  <si>
    <t>Plus de 10 remarques !</t>
  </si>
  <si>
    <t>Consommation de chaleur totale des utilisateurs</t>
  </si>
  <si>
    <t>Déperditions du réseau</t>
  </si>
  <si>
    <t>Diminution des besoins de chaleur (Amélioration de l’enveloppe du bâtiment)</t>
  </si>
  <si>
    <t>Année de démarrage du projet</t>
  </si>
  <si>
    <t>Année de mise en service / première fourniture de chaleur</t>
  </si>
  <si>
    <t>Prix du combustible bois (à partir du compteur de chaleur)</t>
  </si>
  <si>
    <t>Part de chaleur utile produite à base de biomasse</t>
  </si>
  <si>
    <t>Part de chaleur utile produite à base d'énergie fossile</t>
  </si>
  <si>
    <t>Prix du combustible fossile</t>
  </si>
  <si>
    <t>Taux d'utilisation annuel de la chaudière à combustible fossile</t>
  </si>
  <si>
    <t>Énergie auxiliaire (électricité)</t>
  </si>
  <si>
    <t>Prix de l'électricité</t>
  </si>
  <si>
    <t>Coûts de personnel (pour le service, le nettoyage, etc.)</t>
  </si>
  <si>
    <t>Coûts d'exploitation externes (service, ramonage, etc.)</t>
  </si>
  <si>
    <t>Frais d'entretien</t>
  </si>
  <si>
    <t>Frais de loyer / bail / propriété</t>
  </si>
  <si>
    <t>Autres frais (administration, assurances, etc.)</t>
  </si>
  <si>
    <t>Augmentation générale des prix</t>
  </si>
  <si>
    <t>Taux d'intérêt nominal</t>
  </si>
  <si>
    <t>Taux d'intérêt réel</t>
  </si>
  <si>
    <t>(extensions y comprises)</t>
  </si>
  <si>
    <t>Coûts de construction Bâtiments Environs</t>
  </si>
  <si>
    <t>Éléments de l'installation spécifiques au bois</t>
  </si>
  <si>
    <t>Éléments de l’installation spécifiques à la charge de pointe</t>
  </si>
  <si>
    <t>Installations de la centrale</t>
  </si>
  <si>
    <t>Réseau de chaleur, y compris génie civil</t>
  </si>
  <si>
    <t>Compteurs de chaleur et robinets de régulation</t>
  </si>
  <si>
    <t>Postes intérieurs</t>
  </si>
  <si>
    <t>Planification et imprévus</t>
  </si>
  <si>
    <t>Coût d'investissement total</t>
  </si>
  <si>
    <t>Niveau d'extension / étape 1</t>
  </si>
  <si>
    <t>Niveau d'extension / étape 2</t>
  </si>
  <si>
    <t>Niveau d'extension / étape 3</t>
  </si>
  <si>
    <t>Crédit 1</t>
  </si>
  <si>
    <t>Crédit/prêt</t>
  </si>
  <si>
    <t>Durée du crédit en année</t>
  </si>
  <si>
    <t>Année de début</t>
  </si>
  <si>
    <t>Taux d'intérêt</t>
  </si>
  <si>
    <t>Crédit 2</t>
  </si>
  <si>
    <t>Subvention unique (p.ex. cantonale)</t>
  </si>
  <si>
    <t>Subvention unique pack 1</t>
  </si>
  <si>
    <t>Année de versement</t>
  </si>
  <si>
    <t>Subvention unique pack 2</t>
  </si>
  <si>
    <t>Subvention pluriannuelle (p.ex. KliK)</t>
  </si>
  <si>
    <t>Subvention annuelle moyenne</t>
  </si>
  <si>
    <t>Durée de versement</t>
  </si>
  <si>
    <t>Année du premier versement</t>
  </si>
  <si>
    <t>quantité max. de chaleur produite</t>
  </si>
  <si>
    <t>quantité annuelle max. de chaleur utile issue de la biomasse</t>
  </si>
  <si>
    <t>besoin annuel max. de combustible fossile (primaire)</t>
  </si>
  <si>
    <t>consommation annuelle d'électricité</t>
  </si>
  <si>
    <t>coûts énergétiques annnuels max. de la biomasse</t>
  </si>
  <si>
    <t>coûts énergétiques annuels max. de l'énergie fossile</t>
  </si>
  <si>
    <t>coûts annuels max. d'électricité</t>
  </si>
  <si>
    <t>Coût d'investissement global</t>
  </si>
  <si>
    <t>Montant total des subventions</t>
  </si>
  <si>
    <t>Coût du capital pour la production de chaleur</t>
  </si>
  <si>
    <t>Coûts en capital de la distribution de chaleur</t>
  </si>
  <si>
    <t>Entretien et maintenance de la production de chaleur</t>
  </si>
  <si>
    <t>Entretien et maintenance de la distribution de chaleur</t>
  </si>
  <si>
    <t>Coûts de l'énergie</t>
  </si>
  <si>
    <t>Coûts annuels</t>
  </si>
  <si>
    <t>Subventions (capitalisés pour une durée de 25 ans)</t>
  </si>
  <si>
    <t>Coûts annuels incluant les subventions</t>
  </si>
  <si>
    <t>Avertissement</t>
  </si>
  <si>
    <t>TexteMin</t>
  </si>
  <si>
    <t>TexteMax</t>
  </si>
  <si>
    <t>TexteAutre</t>
  </si>
  <si>
    <t xml:space="preserve">111: La consommation de chaleur est trop faible ! </t>
  </si>
  <si>
    <t>111: La consommation de chaleur est trop grande.</t>
  </si>
  <si>
    <t>112: Les déperditions du réseau de chaleur sont trop faibles !</t>
  </si>
  <si>
    <t>112: Les déperditions du réseau de chaleur sont trop élevées !</t>
  </si>
  <si>
    <t>112: Pas de déperditions de réseau saisies.</t>
  </si>
  <si>
    <t xml:space="preserve">113: La diminution des besoins de chaleur des consommateurs de chaleur est négative ; surconsommation. </t>
  </si>
  <si>
    <t xml:space="preserve">113: La diminution des besoins de chaleur est très élevée. </t>
  </si>
  <si>
    <t xml:space="preserve">113: Aucune diminution des besoins de chaleur saisi. </t>
  </si>
  <si>
    <t xml:space="preserve">114: L'année de démarrage du projet est antérieure à 2000. </t>
  </si>
  <si>
    <t xml:space="preserve">114: L'année de démarrage du projet est postérieure à 2100. </t>
  </si>
  <si>
    <t>115: L'année de mise en service est antérieure à l'année de démarrage du projet.</t>
  </si>
  <si>
    <t xml:space="preserve">115Plus de 3 ans séparent la mise en service du démarrage du projet. Ajuster la date de première fourniture de chaleur dans l'onglet Consommateurs. </t>
  </si>
  <si>
    <t xml:space="preserve">121: Le prix de la matière première (biomasse) est supposé négatif. </t>
  </si>
  <si>
    <t xml:space="preserve">121: Le prix de la matière première (biomasse) est trop élevé. </t>
  </si>
  <si>
    <t xml:space="preserve">122: La part de la chaleur annuelle issue de la biomasse est insignifiante. </t>
  </si>
  <si>
    <t xml:space="preserve">122: La part de la chaleur annuelle issue de la biomasse est trop importante. </t>
  </si>
  <si>
    <t xml:space="preserve">124: Le prix du combustible fossile est trop bas. </t>
  </si>
  <si>
    <t xml:space="preserve">124: Le prix supposé du combustible fossile est élevé. </t>
  </si>
  <si>
    <t xml:space="preserve">124: Le prix du combustible fossile est inférieur au prix de la biomasse. </t>
  </si>
  <si>
    <t xml:space="preserve">125: Le taux d'utilisation annuel de la chaudière est inférieur à 40 %. </t>
  </si>
  <si>
    <t xml:space="preserve">125: Le taux d'utilisation annuel de la chaudière est supérieur à 98 %. </t>
  </si>
  <si>
    <t xml:space="preserve">126: La consommation spécifique d'électricité est supposée très faible. </t>
  </si>
  <si>
    <t xml:space="preserve">126: La consommation spécifique d'électricité est supposée très importante. </t>
  </si>
  <si>
    <t xml:space="preserve">126: La consommation spécifique d'électricité a été définie comme nulle. </t>
  </si>
  <si>
    <t xml:space="preserve">127: Le prix de l'électricité est supposé très faible. </t>
  </si>
  <si>
    <t xml:space="preserve">127: Le prix de l'électricité est supposé très élevé. </t>
  </si>
  <si>
    <t xml:space="preserve">127: Le prix de l'électricité est nul. </t>
  </si>
  <si>
    <t xml:space="preserve">130: Les coûts annuels de personnel sont très faibles. </t>
  </si>
  <si>
    <t xml:space="preserve">130: Les coûts annuels de personnel sont très élevés. </t>
  </si>
  <si>
    <t>131: Les coûts d'exploitation externes annuels sont très faibles.</t>
  </si>
  <si>
    <t xml:space="preserve">131: Les coûts d'exploitation externes annuels sont très très élevés. </t>
  </si>
  <si>
    <t xml:space="preserve">132: Les frais d'entretien annuels sont très faibles. </t>
  </si>
  <si>
    <t xml:space="preserve">132: Les frais d'entretien annuels sont trop élevés. </t>
  </si>
  <si>
    <t xml:space="preserve">135: Les frais annuels de propriété ont été supposés très bas. </t>
  </si>
  <si>
    <t xml:space="preserve">135: Les frais annuels de propriété sont très élevés. </t>
  </si>
  <si>
    <t xml:space="preserve">136: Les autres frais sont très faibles. </t>
  </si>
  <si>
    <t xml:space="preserve">136: Les autres frais sont très élevés. </t>
  </si>
  <si>
    <t xml:space="preserve">136: Les autres frais ont été supposés nuls. </t>
  </si>
  <si>
    <t xml:space="preserve">137: L'augmentation générale des prix a été supposée très faible. </t>
  </si>
  <si>
    <t xml:space="preserve">137: L'augmentation générale des prix a été supposée très élevée. </t>
  </si>
  <si>
    <t xml:space="preserve">138: Le taux d'intérêt nominal a été supposé négatif. </t>
  </si>
  <si>
    <t xml:space="preserve">138: Le taux d'intérêt nominal a été supposé très élevé. </t>
  </si>
  <si>
    <t xml:space="preserve">139: Le taux d'intérêt réel est négatif </t>
  </si>
  <si>
    <t xml:space="preserve">139: Le taux d'intérêt réel est très élevé </t>
  </si>
  <si>
    <t xml:space="preserve">151: Les frais de construction de la centrale de chauffage sont très faibles. </t>
  </si>
  <si>
    <t xml:space="preserve">151: Les frais de construction de la centrale de chauffage sont très élevés. </t>
  </si>
  <si>
    <t xml:space="preserve">152: Les frais des éléments de l'installation spécifiques au bois sont très faibles. </t>
  </si>
  <si>
    <t xml:space="preserve">152: Les frais des éléments de l'installation spécifiques au bois sont très élevés. </t>
  </si>
  <si>
    <t xml:space="preserve">153: Les frais des éléments de l'installation spécifiques à la charge de pointe sont très faibles. </t>
  </si>
  <si>
    <t xml:space="preserve">153: Les frais des éléments de l'installation spécifiques à la charge de pointe sont très élevés. </t>
  </si>
  <si>
    <t xml:space="preserve">154: Les frais des installations de la centrale sont très faibles. </t>
  </si>
  <si>
    <t xml:space="preserve">154: Les frais des installations de la centrale sont très élevés. </t>
  </si>
  <si>
    <t xml:space="preserve">155: Les frais de construction du réseau de chaleur sont très faibles. </t>
  </si>
  <si>
    <t xml:space="preserve">155: Les frais de construction du réseau de chaleur sont très élevés. </t>
  </si>
  <si>
    <t xml:space="preserve">156: Les frais de comptage de la chaleur sont très faibles. </t>
  </si>
  <si>
    <t xml:space="preserve">156: Les frais de comptage de la chaleur sont très élevés. </t>
  </si>
  <si>
    <t xml:space="preserve">157: Les frais pour les postes intérieurs sont très faibles. </t>
  </si>
  <si>
    <t xml:space="preserve">157: Les frais pour les postes intérieurs sont très élevés. </t>
  </si>
  <si>
    <t xml:space="preserve">158: Les frais de planification et d'imprévus sont très faibles. </t>
  </si>
  <si>
    <t xml:space="preserve">158: Les frais de planification et d'imprévus sont très élevés. </t>
  </si>
  <si>
    <t xml:space="preserve">158: Les frais de planification et d'imprévus représentent moins de 5 % des coûts d'investissement. </t>
  </si>
  <si>
    <t>159: Les coûts d'investissement sont très faibles.</t>
  </si>
  <si>
    <t>159: Les coûts d'investissement sont très élevés.</t>
  </si>
  <si>
    <t xml:space="preserve">166: La part du crédit est nulle ou négative. </t>
  </si>
  <si>
    <t xml:space="preserve">166: La part du crédit est supérieure au coût d'investissement global. </t>
  </si>
  <si>
    <t xml:space="preserve">167: La durée du crédit est trop courte. </t>
  </si>
  <si>
    <t xml:space="preserve">167: La durée du crédit ne doit pas excéder 25 ans ! </t>
  </si>
  <si>
    <t>168: L'année de début du financement est antérieure au démarrage du projet.</t>
  </si>
  <si>
    <t>168: L'année de début du financement se situe loin après le démarrage du projet.</t>
  </si>
  <si>
    <t>169: Le taux d'intérêt indiqué est très faible.</t>
  </si>
  <si>
    <t>169: Le taux d'intérêt indiqué est très élevé.</t>
  </si>
  <si>
    <t xml:space="preserve">172: Le montant de la subvention du pack 1 est trop faible. </t>
  </si>
  <si>
    <t xml:space="preserve">172: Le montant de la subvention du pack 1 est trop élevé. </t>
  </si>
  <si>
    <t xml:space="preserve">173: La subvention du pack 1 ne peut être versée qu'après le démarrage du projet ! </t>
  </si>
  <si>
    <t xml:space="preserve">173: Le versement de la subvention du pack 1 est indiqué plus de 10 ans après le démarrage du projet ! </t>
  </si>
  <si>
    <t xml:space="preserve">174: Le montant de la subvention du pack 2 est trop faible. </t>
  </si>
  <si>
    <t xml:space="preserve">174: Le montant de la subvention du pack 2 est trop élevé. </t>
  </si>
  <si>
    <t xml:space="preserve">175: La subvention du pack 2 ne peut être versée qu'après le démarrage du projet ! </t>
  </si>
  <si>
    <t xml:space="preserve">175: Le versement de la subvention du pack 2 est indiqué plus de 10 ans après le démarrage du projet ! </t>
  </si>
  <si>
    <t xml:space="preserve">177: Le montant de subvention saisi est très faible. </t>
  </si>
  <si>
    <t xml:space="preserve">177: Le montant de subvention saisi est trop élevé. </t>
  </si>
  <si>
    <t xml:space="preserve">178: La durée de la subvention est trop faible. </t>
  </si>
  <si>
    <t xml:space="preserve">178: La durée de la subvention est trop longue. </t>
  </si>
  <si>
    <t xml:space="preserve">179: La subvention ne peut être versée qu'après le démarrage du projet ! </t>
  </si>
  <si>
    <t xml:space="preserve">179: Le versement de la subvention est indiqué plus de 10 ans après le démarrage du projet ! </t>
  </si>
  <si>
    <t>Commentaires</t>
  </si>
  <si>
    <t>MWh/an</t>
  </si>
  <si>
    <t>CHF/MWh d'énergie produite</t>
  </si>
  <si>
    <t>CHF/MWh d'énergie primaire</t>
  </si>
  <si>
    <t>% de la chaleur produite</t>
  </si>
  <si>
    <t>CHF/an</t>
  </si>
  <si>
    <t>spécifiques</t>
  </si>
  <si>
    <t>Durée d'utilisation</t>
  </si>
  <si>
    <t>Amortissement</t>
  </si>
  <si>
    <t>ans</t>
  </si>
  <si>
    <t>Année</t>
  </si>
  <si>
    <t>Part</t>
  </si>
  <si>
    <t>Coûts de production de chaleur</t>
  </si>
  <si>
    <t>ct./kWh</t>
  </si>
  <si>
    <t xml:space="preserve">QM Chauffages au bois - Modèle de rentabilité - Prix de la chaleur </t>
  </si>
  <si>
    <t>Saisie du prix de base et du prix de consommation</t>
  </si>
  <si>
    <t>prix de base annuel</t>
  </si>
  <si>
    <t>prix de consommation</t>
  </si>
  <si>
    <t>durée contractuelle</t>
  </si>
  <si>
    <t>% de la quantité de chaleur</t>
  </si>
  <si>
    <t>CHF/kW an</t>
  </si>
  <si>
    <t>QM Chauffages au bois - Modèle de rentabilité - Saisie des consommateurs</t>
  </si>
  <si>
    <t>Indications concernant les consommateurs</t>
  </si>
  <si>
    <t>Généralités</t>
  </si>
  <si>
    <t>Besoin de chaleur</t>
  </si>
  <si>
    <t>Raccordement</t>
  </si>
  <si>
    <t>Champ transmis depuis le relevé de situation</t>
  </si>
  <si>
    <t/>
  </si>
  <si>
    <t>Numéro</t>
  </si>
  <si>
    <t>Désignation</t>
  </si>
  <si>
    <t>Besoin total de chaleur [MWh/an]</t>
  </si>
  <si>
    <t>Puissance souscrite [kW]</t>
  </si>
  <si>
    <t>Date de raccordement</t>
  </si>
  <si>
    <t>Année de raccordement</t>
  </si>
  <si>
    <t>Prix de la chaleur - Tarif</t>
  </si>
  <si>
    <t>Coûts de raccordement (uniques) [CHF]</t>
  </si>
  <si>
    <t>Coûts de capital annuels [CHF/an]</t>
  </si>
  <si>
    <t>Coûts de base annuels [CHF/an]</t>
  </si>
  <si>
    <t>Coûts énergétiques annuels [CHF/an]</t>
  </si>
  <si>
    <t>Coûts de base et énergétiques [CHF/an]</t>
  </si>
  <si>
    <t>Coûts annuels [CHF/an]</t>
  </si>
  <si>
    <t>Prix de revient de la chaleur [ct/kWh]</t>
  </si>
  <si>
    <t>QM Chauffages au bois - Modèle de rentabilité - Résultat</t>
  </si>
  <si>
    <t>Avertissements :</t>
  </si>
  <si>
    <t>Coûts d'exploitation</t>
  </si>
  <si>
    <t xml:space="preserve"> (utilisation à 100 % ; année 1)</t>
  </si>
  <si>
    <t>Total des coûts d'exploitation</t>
  </si>
  <si>
    <t>Combustible biomasse</t>
  </si>
  <si>
    <t>Combustible fossile</t>
  </si>
  <si>
    <t>Électricité</t>
  </si>
  <si>
    <t>Frais de loyer/bail/terrain</t>
  </si>
  <si>
    <t>Autres (assurances, etc.)</t>
  </si>
  <si>
    <t>Prix de la chaleur</t>
  </si>
  <si>
    <t>Données du projet</t>
  </si>
  <si>
    <t>Début du projet</t>
  </si>
  <si>
    <t>Fonds propres max. requis</t>
  </si>
  <si>
    <t>Augmentation [%]</t>
  </si>
  <si>
    <t xml:space="preserve"> [CHF/an]</t>
  </si>
  <si>
    <t>pour l'année</t>
  </si>
  <si>
    <t>Évolution économique (graphique)</t>
  </si>
  <si>
    <t>Évolution état du crédit / valeur résiduelle (graphique)</t>
  </si>
  <si>
    <t>Dépenses</t>
  </si>
  <si>
    <t>Recettes</t>
  </si>
  <si>
    <t>Compte d'exploitation</t>
  </si>
  <si>
    <t>Capital</t>
  </si>
  <si>
    <t>Cash-flow</t>
  </si>
  <si>
    <t>Besoin de chaleur, déperditions réseau incl.</t>
  </si>
  <si>
    <t>Charge</t>
  </si>
  <si>
    <t>Exploitation+ administra-tion</t>
  </si>
  <si>
    <t>Entretien</t>
  </si>
  <si>
    <t>Autres
+ loyer/
bail</t>
  </si>
  <si>
    <t>Autres dépenses</t>
  </si>
  <si>
    <t>Dépenses effectives</t>
  </si>
  <si>
    <t>Intérêts</t>
  </si>
  <si>
    <t>Amortissemet</t>
  </si>
  <si>
    <t>Total des charges</t>
  </si>
  <si>
    <t>Vente de chaleur</t>
  </si>
  <si>
    <t>Contributions de raccordement</t>
  </si>
  <si>
    <t>Recettes supplémentaires</t>
  </si>
  <si>
    <t>Recettes effectives</t>
  </si>
  <si>
    <t>Recettes totales</t>
  </si>
  <si>
    <t>Bénéfice/
perte annuelle</t>
  </si>
  <si>
    <t>Cumul excédent / déficit</t>
  </si>
  <si>
    <t>Investissements</t>
  </si>
  <si>
    <t>Crédits / prêts</t>
  </si>
  <si>
    <t>Année après la MES</t>
  </si>
  <si>
    <t>Solde du crédit</t>
  </si>
  <si>
    <t>Valeur résiduelle des installations</t>
  </si>
  <si>
    <t>Rémunération de l'investissement</t>
  </si>
  <si>
    <t>[aaaa]</t>
  </si>
  <si>
    <t>QM Chauffages au bois - Modèle de rentabilité - Résultats</t>
  </si>
  <si>
    <t>Financement externe / subventions</t>
  </si>
  <si>
    <t>Charges</t>
  </si>
  <si>
    <t>Chaudières et installations</t>
  </si>
  <si>
    <t>Réseau de chaleur, avec génie civil et postes intérieurs</t>
  </si>
  <si>
    <t>Crédits/prêts</t>
  </si>
  <si>
    <t>Coûts énergétiques</t>
  </si>
  <si>
    <t>Exploitation, entretien, autres</t>
  </si>
  <si>
    <t>Intérêts, amortissement</t>
  </si>
  <si>
    <t>Vente de chaleur + contribution de raccordement</t>
  </si>
  <si>
    <t>Subventions, autres</t>
  </si>
  <si>
    <t>Total des recettes</t>
  </si>
  <si>
    <t>[CHF/an]</t>
  </si>
  <si>
    <t>Énergie</t>
  </si>
  <si>
    <t>Évolution de la charge du réseau</t>
  </si>
  <si>
    <t>Bilan</t>
  </si>
  <si>
    <t>Charge du réseau</t>
  </si>
  <si>
    <t>Quantité de chaleur fournie</t>
  </si>
  <si>
    <t>Coût moyen sur la base des ventes de chaleur</t>
  </si>
  <si>
    <t>Valeur résiduelle de l'installation</t>
  </si>
  <si>
    <t>Remarques</t>
  </si>
  <si>
    <t>QM Chauffages au bois - Synthèse pour KliK-Tool "Justification de l’additionnalité de projets de chaleur à distance"</t>
  </si>
  <si>
    <t>Champs de résultat</t>
  </si>
  <si>
    <t>Onglet Paramètres de saisie ; section Évolution de référence</t>
  </si>
  <si>
    <t>Clients clé (ou groupe de clients clé présentant les mêmes caractéristiques)</t>
  </si>
  <si>
    <t>Type de bâtiment &amp; caractéristiques de consommation</t>
  </si>
  <si>
    <t>Puissance [kW]</t>
  </si>
  <si>
    <t>Besoins annuels de chaleur [MWh/an]</t>
  </si>
  <si>
    <t xml:space="preserve">Puissance en pleine configuration [kW] </t>
  </si>
  <si>
    <t>Onglet Consommation de chaleur ; section Évolution de référence</t>
  </si>
  <si>
    <t>Client clé</t>
  </si>
  <si>
    <t>Consommation de chaleur (énergie utile) (y compris effets des rénovations de bâtiment)</t>
  </si>
  <si>
    <t>[MWh/an]</t>
  </si>
  <si>
    <t>Consommation d’électricité centrale de chaleur à distance</t>
  </si>
  <si>
    <t>Consommation d’électricité totale par an</t>
  </si>
  <si>
    <t>Onglet Rentabilité ; Activité de projet</t>
  </si>
  <si>
    <t xml:space="preserve">Investissements et investissements de remplacement </t>
  </si>
  <si>
    <t>Réseau de chaleur à distance (40 ans)</t>
  </si>
  <si>
    <t>Centrale de chauffage resp. systèmes de chaleur décentralisés (15 ans)</t>
  </si>
  <si>
    <t>Valeur résiduelle réseau de chaleur à distance</t>
  </si>
  <si>
    <t>Coûts</t>
  </si>
  <si>
    <t>Exploitation et entretien</t>
  </si>
  <si>
    <t>Coûts d'énergie</t>
  </si>
  <si>
    <t>Total dépenses annuelles</t>
  </si>
  <si>
    <t>Revenus (hors indemnité)</t>
  </si>
  <si>
    <t>Contributions de raccordement / revenus exceptionnels</t>
  </si>
  <si>
    <t>Ventes de chaleur / revenus récurrents</t>
  </si>
  <si>
    <t>Subsides de tiers (canton, Confédération, commune)</t>
  </si>
  <si>
    <t>Dépenses et recettes non prises en compte</t>
  </si>
  <si>
    <t>Charges additionnelles</t>
  </si>
  <si>
    <t>Recettes additionnelles</t>
  </si>
  <si>
    <t>QMH projet example 2</t>
  </si>
  <si>
    <t>Modèle de rentabilité</t>
  </si>
  <si>
    <t>CP / lieu</t>
  </si>
  <si>
    <t>date, nome</t>
  </si>
  <si>
    <t>Privé</t>
  </si>
  <si>
    <t>Industrie</t>
  </si>
  <si>
    <t>Gros consommateur</t>
  </si>
  <si>
    <t>Part du réseau 1</t>
  </si>
  <si>
    <t>Client 2</t>
  </si>
  <si>
    <t>Client 3</t>
  </si>
  <si>
    <t>Client 4</t>
  </si>
  <si>
    <t>Client 5</t>
  </si>
  <si>
    <t>Client 6</t>
  </si>
  <si>
    <t>14 EFH+DEFH</t>
  </si>
  <si>
    <t>MFH</t>
  </si>
  <si>
    <t>EFH</t>
  </si>
  <si>
    <t>Restaurant</t>
  </si>
  <si>
    <t>Immeubles communaux</t>
  </si>
  <si>
    <t>T 2: Industrie</t>
  </si>
  <si>
    <t>T 1: Privé</t>
  </si>
  <si>
    <t>T 3: Gros consommateur</t>
  </si>
  <si>
    <t>Total des subventions</t>
  </si>
  <si>
    <t>Valeur standard ou calculée (modifiable)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</si>
</sst>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64" formatCode="_-* #,##0.00\ _€_-;\-* #,##0.00\ _€_-;_-* &quot;-&quot;??\ _€_-;_-@_-"/>
    <numFmt numFmtId="165" formatCode="_-&quot;€&quot;\ * #,##0.00_-;\-&quot;€&quot;\ * #,##0.00_-;_-&quot;€&quot;\ * &quot;-&quot;??_-;_-@_-"/>
    <numFmt numFmtId="166" formatCode="#,##0.000"/>
    <numFmt numFmtId="167" formatCode="0.00000"/>
    <numFmt numFmtId="168" formatCode="0.0000"/>
    <numFmt numFmtId="169" formatCode="yyyy"/>
    <numFmt numFmtId="170" formatCode="#,##0_ ;\-#,##0\ "/>
    <numFmt numFmtId="171" formatCode="0_ ;\-0\ "/>
    <numFmt numFmtId="172" formatCode="0.0"/>
    <numFmt numFmtId="173" formatCode="_ * #,##0.0_ ;_ * \-#,##0.0_ ;_ * &quot;-&quot;?_ ;_ @_ "/>
    <numFmt numFmtId="174" formatCode="0.0%"/>
    <numFmt numFmtId="175" formatCode="0.000"/>
  </numFmts>
  <fonts count="24" x14ac:knownFonts="1">
    <font>
      <sz val="11"/>
      <color theme="1"/>
      <name val="Calibri"/>
      <family val="2"/>
      <scheme val="minor"/>
    </font>
    <font>
      <sz val="10"/>
      <color theme="1"/>
      <name val="Arial"/>
      <family val="2"/>
    </font>
    <font>
      <sz val="10"/>
      <color theme="1"/>
      <name val="Arial"/>
      <family val="2"/>
    </font>
    <font>
      <sz val="10"/>
      <name val="Arial"/>
      <family val="2"/>
    </font>
    <font>
      <b/>
      <sz val="10"/>
      <name val="Arial"/>
      <family val="2"/>
    </font>
    <font>
      <b/>
      <sz val="8"/>
      <color indexed="81"/>
      <name val="Tahoma"/>
      <family val="2"/>
    </font>
    <font>
      <sz val="10"/>
      <color indexed="22"/>
      <name val="Arial"/>
      <family val="2"/>
    </font>
    <font>
      <u/>
      <sz val="10"/>
      <color indexed="12"/>
      <name val="Arial"/>
      <family val="2"/>
    </font>
    <font>
      <sz val="11"/>
      <color indexed="8"/>
      <name val="Calibri"/>
      <family val="2"/>
    </font>
    <font>
      <sz val="8"/>
      <name val="Calibri"/>
      <family val="2"/>
    </font>
    <font>
      <sz val="11"/>
      <color theme="1"/>
      <name val="Arial"/>
      <family val="2"/>
    </font>
    <font>
      <sz val="11"/>
      <color theme="1"/>
      <name val="Calibri"/>
      <family val="2"/>
      <scheme val="minor"/>
    </font>
    <font>
      <u/>
      <sz val="10"/>
      <color indexed="12"/>
      <name val="Calibri"/>
      <family val="2"/>
      <scheme val="minor"/>
    </font>
    <font>
      <b/>
      <sz val="10"/>
      <color indexed="22"/>
      <name val="Arial"/>
      <family val="2"/>
    </font>
    <font>
      <b/>
      <sz val="10"/>
      <color theme="1"/>
      <name val="Arial"/>
      <family val="2"/>
    </font>
    <font>
      <sz val="10"/>
      <color theme="0" tint="-0.34998626667073579"/>
      <name val="Arial"/>
      <family val="2"/>
    </font>
    <font>
      <sz val="10"/>
      <color theme="0" tint="-0.249977111117893"/>
      <name val="Arial"/>
      <family val="2"/>
    </font>
    <font>
      <u/>
      <sz val="10"/>
      <color theme="10"/>
      <name val="Arial"/>
      <family val="2"/>
    </font>
    <font>
      <b/>
      <sz val="10"/>
      <color indexed="8"/>
      <name val="Arial"/>
      <family val="2"/>
    </font>
    <font>
      <sz val="10"/>
      <color indexed="8"/>
      <name val="Arial"/>
      <family val="2"/>
    </font>
    <font>
      <b/>
      <sz val="10"/>
      <color rgb="FFFF0000"/>
      <name val="Arial"/>
      <family val="2"/>
    </font>
    <font>
      <sz val="10"/>
      <color indexed="55"/>
      <name val="Arial"/>
      <family val="2"/>
    </font>
    <font>
      <vertAlign val="subscript"/>
      <sz val="10"/>
      <name val="Arial"/>
      <family val="2"/>
    </font>
    <font>
      <b/>
      <sz val="14"/>
      <color theme="4"/>
      <name val="Arial"/>
      <family val="2"/>
    </font>
  </fonts>
  <fills count="1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9BC2CA"/>
        <bgColor indexed="64"/>
      </patternFill>
    </fill>
    <fill>
      <patternFill patternType="solid">
        <fgColor rgb="FFBDD9DE"/>
        <bgColor indexed="64"/>
      </patternFill>
    </fill>
    <fill>
      <patternFill patternType="solid">
        <fgColor rgb="FFF5D992"/>
        <bgColor indexed="64"/>
      </patternFill>
    </fill>
    <fill>
      <patternFill patternType="solid">
        <fgColor theme="0" tint="-0.14999847407452621"/>
        <bgColor indexed="64"/>
      </patternFill>
    </fill>
    <fill>
      <patternFill patternType="solid">
        <fgColor rgb="FFD8E4BC"/>
        <bgColor indexed="64"/>
      </patternFill>
    </fill>
    <fill>
      <patternFill patternType="solid">
        <fgColor rgb="FFFFFF00"/>
        <bgColor indexed="64"/>
      </patternFill>
    </fill>
    <fill>
      <patternFill patternType="solid">
        <fgColor theme="6" tint="0.79998168889431442"/>
        <bgColor indexed="64"/>
      </patternFill>
    </fill>
  </fills>
  <borders count="52">
    <border>
      <left/>
      <right/>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hair">
        <color auto="1"/>
      </bottom>
      <diagonal/>
    </border>
    <border>
      <left style="hair">
        <color auto="1"/>
      </left>
      <right/>
      <top style="thin">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top/>
      <bottom style="thin">
        <color theme="0" tint="-0.499984740745262"/>
      </bottom>
      <diagonal/>
    </border>
    <border>
      <left style="thin">
        <color auto="1"/>
      </left>
      <right style="thin">
        <color auto="1"/>
      </right>
      <top style="thin">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right/>
      <top style="thin">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thin">
        <color auto="1"/>
      </right>
      <top style="hair">
        <color auto="1"/>
      </top>
      <bottom style="thin">
        <color indexed="64"/>
      </bottom>
      <diagonal/>
    </border>
    <border>
      <left/>
      <right style="hair">
        <color auto="1"/>
      </right>
      <top style="thin">
        <color auto="1"/>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thin">
        <color indexed="64"/>
      </right>
      <top style="hair">
        <color auto="1"/>
      </top>
      <bottom style="thin">
        <color auto="1"/>
      </bottom>
      <diagonal/>
    </border>
    <border>
      <left style="thin">
        <color indexed="64"/>
      </left>
      <right/>
      <top/>
      <bottom style="thin">
        <color auto="1"/>
      </bottom>
      <diagonal/>
    </border>
    <border>
      <left style="thin">
        <color indexed="64"/>
      </left>
      <right/>
      <top/>
      <bottom/>
      <diagonal/>
    </border>
  </borders>
  <cellStyleXfs count="10">
    <xf numFmtId="0" fontId="0" fillId="0" borderId="0"/>
    <xf numFmtId="165" fontId="3" fillId="0" borderId="0" applyFont="0" applyFill="0" applyBorder="0" applyAlignment="0" applyProtection="0"/>
    <xf numFmtId="0" fontId="12" fillId="0" borderId="0" applyNumberFormat="0" applyFill="0" applyBorder="0" applyAlignment="0" applyProtection="0">
      <alignment vertical="top"/>
      <protection locked="0"/>
    </xf>
    <xf numFmtId="164" fontId="8" fillId="0" borderId="0" applyFont="0" applyFill="0" applyBorder="0" applyAlignment="0" applyProtection="0"/>
    <xf numFmtId="9" fontId="8" fillId="0" borderId="0" applyFont="0" applyFill="0" applyBorder="0" applyAlignment="0" applyProtection="0"/>
    <xf numFmtId="0" fontId="3" fillId="0" borderId="0"/>
    <xf numFmtId="0" fontId="3" fillId="0" borderId="0"/>
    <xf numFmtId="0" fontId="10" fillId="0" borderId="0"/>
    <xf numFmtId="41" fontId="11" fillId="0" borderId="0" applyFont="0" applyFill="0" applyBorder="0" applyAlignment="0" applyProtection="0"/>
    <xf numFmtId="41" fontId="11" fillId="0" borderId="0" applyFont="0" applyFill="0" applyBorder="0" applyAlignment="0" applyProtection="0"/>
  </cellStyleXfs>
  <cellXfs count="289">
    <xf numFmtId="0" fontId="0" fillId="0" borderId="0" xfId="0"/>
    <xf numFmtId="0" fontId="3" fillId="0" borderId="0" xfId="5"/>
    <xf numFmtId="0" fontId="6" fillId="0" borderId="0" xfId="5" applyFont="1"/>
    <xf numFmtId="0" fontId="7" fillId="0" borderId="0" xfId="2" applyFont="1" applyAlignment="1" applyProtection="1"/>
    <xf numFmtId="0" fontId="3" fillId="0" borderId="0" xfId="5" applyAlignment="1">
      <alignment horizontal="center"/>
    </xf>
    <xf numFmtId="0" fontId="4" fillId="0" borderId="0" xfId="5" applyFont="1"/>
    <xf numFmtId="168" fontId="6" fillId="0" borderId="0" xfId="5" applyNumberFormat="1" applyFont="1"/>
    <xf numFmtId="3" fontId="3" fillId="0" borderId="0" xfId="5" applyNumberFormat="1"/>
    <xf numFmtId="4" fontId="3" fillId="0" borderId="0" xfId="5" applyNumberFormat="1"/>
    <xf numFmtId="2" fontId="4" fillId="0" borderId="0" xfId="5" applyNumberFormat="1" applyFont="1"/>
    <xf numFmtId="0" fontId="13" fillId="0" borderId="0" xfId="5" applyFont="1"/>
    <xf numFmtId="0" fontId="2" fillId="0" borderId="0" xfId="0" applyFont="1"/>
    <xf numFmtId="0" fontId="2" fillId="6" borderId="0" xfId="0" applyFont="1" applyFill="1"/>
    <xf numFmtId="0" fontId="14" fillId="4" borderId="0" xfId="0" applyFont="1" applyFill="1" applyAlignment="1">
      <alignment horizontal="left" vertical="top"/>
    </xf>
    <xf numFmtId="0" fontId="14" fillId="4" borderId="0" xfId="0" applyFont="1" applyFill="1" applyAlignment="1">
      <alignment vertical="top"/>
    </xf>
    <xf numFmtId="0" fontId="17" fillId="5" borderId="0" xfId="2" applyNumberFormat="1" applyFont="1" applyFill="1" applyBorder="1" applyAlignment="1" applyProtection="1">
      <alignment horizontal="center" vertical="top"/>
    </xf>
    <xf numFmtId="0" fontId="14" fillId="5" borderId="0" xfId="0" applyFont="1" applyFill="1" applyAlignment="1">
      <alignment vertical="top"/>
    </xf>
    <xf numFmtId="0" fontId="14" fillId="0" borderId="0" xfId="0" applyFont="1" applyAlignment="1">
      <alignment horizontal="center" vertical="top"/>
    </xf>
    <xf numFmtId="0" fontId="2" fillId="6" borderId="35" xfId="0" applyFont="1" applyFill="1" applyBorder="1" applyAlignment="1" applyProtection="1">
      <alignment vertical="top"/>
      <protection locked="0"/>
    </xf>
    <xf numFmtId="3" fontId="2" fillId="6" borderId="35" xfId="0" applyNumberFormat="1" applyFont="1" applyFill="1" applyBorder="1" applyAlignment="1" applyProtection="1">
      <alignment vertical="top"/>
      <protection locked="0"/>
    </xf>
    <xf numFmtId="0" fontId="14" fillId="5" borderId="0" xfId="0" applyFont="1" applyFill="1" applyAlignment="1">
      <alignment vertical="top" wrapText="1"/>
    </xf>
    <xf numFmtId="0" fontId="2" fillId="0" borderId="0" xfId="0" applyFont="1" applyAlignment="1">
      <alignment vertical="top" wrapText="1"/>
    </xf>
    <xf numFmtId="0" fontId="2" fillId="0" borderId="35" xfId="0" applyFont="1" applyBorder="1" applyAlignment="1">
      <alignment vertical="top"/>
    </xf>
    <xf numFmtId="0" fontId="2" fillId="0" borderId="35" xfId="0" applyFont="1" applyBorder="1" applyAlignment="1">
      <alignment vertical="top" wrapText="1"/>
    </xf>
    <xf numFmtId="1" fontId="14" fillId="4" borderId="0" xfId="0" applyNumberFormat="1" applyFont="1" applyFill="1" applyAlignment="1">
      <alignment vertical="top"/>
    </xf>
    <xf numFmtId="0" fontId="4" fillId="0" borderId="0" xfId="0" applyFont="1" applyAlignment="1">
      <alignment vertical="top"/>
    </xf>
    <xf numFmtId="0" fontId="14" fillId="0" borderId="0" xfId="0" applyFont="1" applyAlignment="1">
      <alignment vertical="top"/>
    </xf>
    <xf numFmtId="0" fontId="2" fillId="0" borderId="0" xfId="0" applyFont="1" applyAlignment="1">
      <alignment vertical="top"/>
    </xf>
    <xf numFmtId="49" fontId="14" fillId="0" borderId="0" xfId="0" applyNumberFormat="1" applyFont="1" applyAlignment="1">
      <alignment vertical="top"/>
    </xf>
    <xf numFmtId="3" fontId="2" fillId="7" borderId="35" xfId="0" applyNumberFormat="1" applyFont="1" applyFill="1" applyBorder="1" applyAlignment="1" applyProtection="1">
      <alignment vertical="top"/>
      <protection hidden="1"/>
    </xf>
    <xf numFmtId="49" fontId="2" fillId="0" borderId="0" xfId="0" applyNumberFormat="1" applyFont="1" applyAlignment="1">
      <alignment horizontal="left" vertical="top"/>
    </xf>
    <xf numFmtId="3" fontId="2" fillId="0" borderId="36" xfId="0" applyNumberFormat="1" applyFont="1" applyBorder="1" applyAlignment="1">
      <alignment vertical="top"/>
    </xf>
    <xf numFmtId="49" fontId="2" fillId="0" borderId="37" xfId="0" applyNumberFormat="1" applyFont="1" applyBorder="1" applyAlignment="1">
      <alignment horizontal="left" vertical="top"/>
    </xf>
    <xf numFmtId="0" fontId="2" fillId="0" borderId="37" xfId="0" applyFont="1" applyBorder="1" applyAlignment="1">
      <alignment vertical="top"/>
    </xf>
    <xf numFmtId="49" fontId="14" fillId="0" borderId="0" xfId="0" applyNumberFormat="1" applyFont="1" applyAlignment="1">
      <alignment horizontal="left" vertical="top"/>
    </xf>
    <xf numFmtId="3" fontId="2" fillId="0" borderId="0" xfId="0" applyNumberFormat="1" applyFont="1" applyAlignment="1">
      <alignment vertical="top"/>
    </xf>
    <xf numFmtId="0" fontId="14" fillId="0" borderId="0" xfId="0" applyFont="1"/>
    <xf numFmtId="3" fontId="2" fillId="0" borderId="35" xfId="0" applyNumberFormat="1" applyFont="1" applyBorder="1"/>
    <xf numFmtId="0" fontId="7" fillId="0" borderId="0" xfId="2" applyFont="1" applyFill="1" applyAlignment="1" applyProtection="1"/>
    <xf numFmtId="0" fontId="18" fillId="0" borderId="0" xfId="0" applyFont="1" applyAlignment="1">
      <alignment horizontal="right"/>
    </xf>
    <xf numFmtId="1" fontId="4" fillId="0" borderId="0" xfId="5" applyNumberFormat="1" applyFont="1"/>
    <xf numFmtId="0" fontId="14" fillId="0" borderId="0" xfId="0" applyFont="1" applyAlignment="1">
      <alignment horizontal="right"/>
    </xf>
    <xf numFmtId="0" fontId="3" fillId="2" borderId="0" xfId="5" applyFill="1"/>
    <xf numFmtId="0" fontId="19" fillId="0" borderId="0" xfId="0" applyFont="1" applyAlignment="1">
      <alignment horizontal="right"/>
    </xf>
    <xf numFmtId="9" fontId="3" fillId="0" borderId="0" xfId="4" applyFont="1" applyFill="1" applyBorder="1" applyAlignment="1" applyProtection="1"/>
    <xf numFmtId="0" fontId="3" fillId="0" borderId="0" xfId="5" applyAlignment="1">
      <alignment horizontal="right"/>
    </xf>
    <xf numFmtId="3" fontId="2" fillId="0" borderId="0" xfId="0" applyNumberFormat="1" applyFont="1"/>
    <xf numFmtId="1" fontId="2" fillId="0" borderId="0" xfId="0" applyNumberFormat="1" applyFont="1"/>
    <xf numFmtId="174" fontId="3" fillId="0" borderId="0" xfId="5" applyNumberFormat="1"/>
    <xf numFmtId="174" fontId="3" fillId="0" borderId="0" xfId="4" applyNumberFormat="1" applyFont="1" applyFill="1" applyProtection="1"/>
    <xf numFmtId="1" fontId="3" fillId="0" borderId="0" xfId="5" applyNumberFormat="1"/>
    <xf numFmtId="0" fontId="3" fillId="0" borderId="0" xfId="0" applyFont="1"/>
    <xf numFmtId="0" fontId="7" fillId="0" borderId="0" xfId="2" applyFont="1" applyFill="1" applyAlignment="1" applyProtection="1">
      <alignment vertical="top"/>
    </xf>
    <xf numFmtId="0" fontId="3" fillId="0" borderId="0" xfId="5" applyAlignment="1">
      <alignment vertical="top"/>
    </xf>
    <xf numFmtId="0" fontId="4" fillId="0" borderId="0" xfId="2" applyFont="1" applyAlignment="1" applyProtection="1"/>
    <xf numFmtId="0" fontId="4" fillId="0" borderId="0" xfId="0" applyFont="1"/>
    <xf numFmtId="1" fontId="14" fillId="0" borderId="0" xfId="0" applyNumberFormat="1" applyFont="1" applyAlignment="1">
      <alignment horizontal="right"/>
    </xf>
    <xf numFmtId="174" fontId="3" fillId="0" borderId="0" xfId="4" applyNumberFormat="1" applyFont="1" applyFill="1" applyBorder="1" applyAlignment="1" applyProtection="1"/>
    <xf numFmtId="3" fontId="4" fillId="0" borderId="0" xfId="5" applyNumberFormat="1" applyFont="1"/>
    <xf numFmtId="3" fontId="14" fillId="0" borderId="0" xfId="0" applyNumberFormat="1" applyFont="1"/>
    <xf numFmtId="10" fontId="2" fillId="0" borderId="0" xfId="0" applyNumberFormat="1" applyFont="1"/>
    <xf numFmtId="0" fontId="2" fillId="0" borderId="0" xfId="0" applyFont="1" applyAlignment="1">
      <alignment horizontal="right"/>
    </xf>
    <xf numFmtId="0" fontId="2" fillId="0" borderId="0" xfId="0" applyFont="1" applyAlignment="1">
      <alignment horizontal="left"/>
    </xf>
    <xf numFmtId="1" fontId="4" fillId="3" borderId="0" xfId="5" applyNumberFormat="1" applyFont="1" applyFill="1" applyProtection="1">
      <protection locked="0"/>
    </xf>
    <xf numFmtId="1" fontId="3" fillId="0" borderId="0" xfId="5" applyNumberFormat="1" applyAlignment="1">
      <alignment horizontal="right"/>
    </xf>
    <xf numFmtId="174" fontId="3" fillId="0" borderId="0" xfId="4" applyNumberFormat="1" applyFont="1" applyFill="1" applyProtection="1">
      <protection locked="0"/>
    </xf>
    <xf numFmtId="0" fontId="4" fillId="0" borderId="0" xfId="5" applyFont="1" applyAlignment="1">
      <alignment horizontal="right"/>
    </xf>
    <xf numFmtId="0" fontId="20" fillId="0" borderId="0" xfId="5" applyFont="1"/>
    <xf numFmtId="0" fontId="4" fillId="0" borderId="0" xfId="5" applyFont="1" applyAlignment="1">
      <alignment horizontal="left"/>
    </xf>
    <xf numFmtId="0" fontId="3" fillId="0" borderId="0" xfId="7" applyFont="1"/>
    <xf numFmtId="0" fontId="7" fillId="0" borderId="0" xfId="2" applyFont="1" applyBorder="1" applyAlignment="1" applyProtection="1">
      <alignment horizontal="right"/>
    </xf>
    <xf numFmtId="10" fontId="4" fillId="0" borderId="0" xfId="4" applyNumberFormat="1" applyFont="1" applyBorder="1" applyProtection="1"/>
    <xf numFmtId="10" fontId="3" fillId="0" borderId="0" xfId="4" applyNumberFormat="1" applyFont="1" applyFill="1" applyBorder="1" applyProtection="1"/>
    <xf numFmtId="10" fontId="3" fillId="0" borderId="0" xfId="4" applyNumberFormat="1" applyFont="1" applyBorder="1" applyProtection="1"/>
    <xf numFmtId="0" fontId="7" fillId="0" borderId="0" xfId="2" applyFont="1" applyBorder="1" applyAlignment="1" applyProtection="1"/>
    <xf numFmtId="0" fontId="3" fillId="0" borderId="0" xfId="5" applyProtection="1">
      <protection hidden="1"/>
    </xf>
    <xf numFmtId="3" fontId="3" fillId="0" borderId="0" xfId="5" applyNumberFormat="1" applyAlignment="1">
      <alignment shrinkToFit="1"/>
    </xf>
    <xf numFmtId="10" fontId="3" fillId="0" borderId="0" xfId="4" applyNumberFormat="1" applyFont="1" applyProtection="1"/>
    <xf numFmtId="169" fontId="3" fillId="0" borderId="0" xfId="5" applyNumberFormat="1"/>
    <xf numFmtId="175" fontId="3" fillId="0" borderId="0" xfId="5" applyNumberFormat="1"/>
    <xf numFmtId="170" fontId="3" fillId="0" borderId="0" xfId="1" applyNumberFormat="1" applyFont="1" applyAlignment="1" applyProtection="1"/>
    <xf numFmtId="0" fontId="3" fillId="0" borderId="0" xfId="5" applyAlignment="1">
      <alignment horizontal="left"/>
    </xf>
    <xf numFmtId="171" fontId="3" fillId="0" borderId="0" xfId="1" applyNumberFormat="1" applyFont="1" applyAlignment="1" applyProtection="1"/>
    <xf numFmtId="171" fontId="3" fillId="0" borderId="0" xfId="1" applyNumberFormat="1" applyFont="1" applyAlignment="1" applyProtection="1">
      <alignment horizontal="right"/>
    </xf>
    <xf numFmtId="0" fontId="4" fillId="0" borderId="51" xfId="5" applyFont="1" applyBorder="1"/>
    <xf numFmtId="0" fontId="3" fillId="0" borderId="51" xfId="5" applyBorder="1"/>
    <xf numFmtId="0" fontId="4" fillId="0" borderId="50" xfId="5" applyFont="1" applyBorder="1"/>
    <xf numFmtId="0" fontId="3" fillId="0" borderId="50" xfId="5" applyBorder="1"/>
    <xf numFmtId="0" fontId="3" fillId="0" borderId="11" xfId="5" applyBorder="1" applyAlignment="1">
      <alignment vertical="center"/>
    </xf>
    <xf numFmtId="0" fontId="3" fillId="0" borderId="21" xfId="5" applyBorder="1" applyAlignment="1">
      <alignment vertical="center" wrapText="1"/>
    </xf>
    <xf numFmtId="0" fontId="3" fillId="0" borderId="1" xfId="5" applyBorder="1" applyAlignment="1">
      <alignment vertical="center" wrapText="1"/>
    </xf>
    <xf numFmtId="0" fontId="3" fillId="0" borderId="11" xfId="5" applyBorder="1" applyAlignment="1">
      <alignment vertical="center" wrapText="1"/>
    </xf>
    <xf numFmtId="0" fontId="3" fillId="0" borderId="13" xfId="5" applyBorder="1" applyAlignment="1">
      <alignment vertical="center" wrapText="1"/>
    </xf>
    <xf numFmtId="0" fontId="3" fillId="0" borderId="13" xfId="5" applyBorder="1" applyAlignment="1">
      <alignment vertical="center"/>
    </xf>
    <xf numFmtId="0" fontId="4" fillId="0" borderId="1" xfId="5" applyFont="1" applyBorder="1" applyAlignment="1">
      <alignment vertical="center" wrapText="1"/>
    </xf>
    <xf numFmtId="0" fontId="3" fillId="0" borderId="29" xfId="5" applyBorder="1" applyAlignment="1">
      <alignment vertical="center" wrapText="1"/>
    </xf>
    <xf numFmtId="0" fontId="4" fillId="0" borderId="29" xfId="5" applyFont="1" applyBorder="1" applyAlignment="1">
      <alignment vertical="center" wrapText="1"/>
    </xf>
    <xf numFmtId="0" fontId="3" fillId="0" borderId="45" xfId="5" applyBorder="1" applyAlignment="1">
      <alignment vertical="center" wrapText="1"/>
    </xf>
    <xf numFmtId="0" fontId="3" fillId="0" borderId="38" xfId="5" applyBorder="1" applyAlignment="1">
      <alignment vertical="center"/>
    </xf>
    <xf numFmtId="0" fontId="3" fillId="0" borderId="0" xfId="5" applyAlignment="1">
      <alignment horizontal="center" vertical="center"/>
    </xf>
    <xf numFmtId="0" fontId="7" fillId="0" borderId="18" xfId="2" applyFont="1" applyBorder="1" applyAlignment="1" applyProtection="1">
      <alignment horizontal="center" vertical="center"/>
    </xf>
    <xf numFmtId="0" fontId="7" fillId="0" borderId="28" xfId="2" applyFont="1" applyBorder="1" applyAlignment="1" applyProtection="1">
      <alignment horizontal="center" vertical="center"/>
    </xf>
    <xf numFmtId="0" fontId="7" fillId="0" borderId="2" xfId="2" applyFont="1" applyBorder="1" applyAlignment="1" applyProtection="1">
      <alignment horizontal="center" vertical="center" wrapText="1"/>
    </xf>
    <xf numFmtId="0" fontId="7" fillId="0" borderId="12" xfId="2" applyFont="1" applyBorder="1" applyAlignment="1" applyProtection="1">
      <alignment horizontal="center" vertical="center" wrapText="1"/>
    </xf>
    <xf numFmtId="0" fontId="7" fillId="0" borderId="19" xfId="2" applyFont="1" applyBorder="1" applyAlignment="1" applyProtection="1">
      <alignment horizontal="center" vertical="center" wrapText="1"/>
    </xf>
    <xf numFmtId="0" fontId="7" fillId="0" borderId="19" xfId="2" applyFont="1" applyBorder="1" applyAlignment="1" applyProtection="1">
      <alignment horizontal="center" vertical="center"/>
    </xf>
    <xf numFmtId="0" fontId="7" fillId="0" borderId="19" xfId="2" applyFont="1" applyFill="1" applyBorder="1" applyAlignment="1" applyProtection="1">
      <alignment horizontal="center" vertical="center" wrapText="1"/>
    </xf>
    <xf numFmtId="0" fontId="7" fillId="0" borderId="0" xfId="2" applyFont="1" applyFill="1" applyAlignment="1" applyProtection="1">
      <alignment horizontal="center" vertical="center"/>
    </xf>
    <xf numFmtId="0" fontId="7" fillId="0" borderId="20" xfId="2" applyFont="1" applyBorder="1" applyAlignment="1" applyProtection="1">
      <alignment horizontal="center" vertical="center" wrapText="1"/>
    </xf>
    <xf numFmtId="0" fontId="7" fillId="0" borderId="30" xfId="2" applyFont="1" applyBorder="1" applyAlignment="1" applyProtection="1">
      <alignment horizontal="center" vertical="center" wrapText="1"/>
    </xf>
    <xf numFmtId="0" fontId="7" fillId="0" borderId="30" xfId="2" applyFont="1" applyFill="1" applyBorder="1" applyAlignment="1" applyProtection="1">
      <alignment horizontal="center" vertical="center" wrapText="1"/>
    </xf>
    <xf numFmtId="0" fontId="7" fillId="0" borderId="20" xfId="2" applyFont="1" applyFill="1" applyBorder="1" applyAlignment="1" applyProtection="1">
      <alignment horizontal="center" vertical="center" wrapText="1"/>
    </xf>
    <xf numFmtId="0" fontId="7" fillId="0" borderId="46" xfId="2" applyFont="1" applyFill="1" applyBorder="1" applyAlignment="1" applyProtection="1">
      <alignment horizontal="center" vertical="center"/>
    </xf>
    <xf numFmtId="0" fontId="7" fillId="0" borderId="28" xfId="2" applyFont="1" applyFill="1" applyBorder="1" applyAlignment="1" applyProtection="1">
      <alignment horizontal="center" vertical="center"/>
    </xf>
    <xf numFmtId="0" fontId="7" fillId="0" borderId="18" xfId="2" applyFont="1" applyFill="1" applyBorder="1" applyAlignment="1" applyProtection="1">
      <alignment horizontal="center" vertical="center" wrapText="1"/>
    </xf>
    <xf numFmtId="0" fontId="7" fillId="0" borderId="2" xfId="2" applyFont="1" applyFill="1" applyBorder="1" applyAlignment="1" applyProtection="1">
      <alignment horizontal="center" vertical="center" wrapText="1"/>
    </xf>
    <xf numFmtId="0" fontId="3" fillId="0" borderId="22" xfId="5" applyBorder="1" applyAlignment="1">
      <alignment horizontal="center" vertical="center" wrapText="1"/>
    </xf>
    <xf numFmtId="0" fontId="7" fillId="0" borderId="12" xfId="2" applyFont="1" applyBorder="1" applyAlignment="1" applyProtection="1">
      <alignment horizontal="center" vertical="center"/>
    </xf>
    <xf numFmtId="0" fontId="7" fillId="0" borderId="14" xfId="2" applyFont="1" applyBorder="1" applyAlignment="1" applyProtection="1">
      <alignment horizontal="center" vertical="center" wrapText="1"/>
    </xf>
    <xf numFmtId="0" fontId="7" fillId="0" borderId="2" xfId="2" applyFont="1" applyBorder="1" applyAlignment="1" applyProtection="1">
      <alignment horizontal="center" vertical="center"/>
    </xf>
    <xf numFmtId="0" fontId="7" fillId="0" borderId="39" xfId="2" applyFont="1" applyBorder="1" applyAlignment="1" applyProtection="1">
      <alignment horizontal="center" vertical="center"/>
    </xf>
    <xf numFmtId="0" fontId="3" fillId="0" borderId="12" xfId="5" applyBorder="1" applyAlignment="1">
      <alignment horizontal="center"/>
    </xf>
    <xf numFmtId="0" fontId="3" fillId="0" borderId="22" xfId="5" applyBorder="1" applyAlignment="1">
      <alignment horizontal="center"/>
    </xf>
    <xf numFmtId="0" fontId="3" fillId="0" borderId="2" xfId="5" applyBorder="1" applyAlignment="1">
      <alignment horizontal="center"/>
    </xf>
    <xf numFmtId="10" fontId="3" fillId="0" borderId="14" xfId="5" applyNumberFormat="1" applyBorder="1" applyAlignment="1">
      <alignment horizontal="center"/>
    </xf>
    <xf numFmtId="0" fontId="3" fillId="0" borderId="14" xfId="5" applyBorder="1" applyAlignment="1">
      <alignment horizontal="center"/>
    </xf>
    <xf numFmtId="0" fontId="4" fillId="0" borderId="2" xfId="5" applyFont="1" applyBorder="1" applyAlignment="1">
      <alignment horizontal="center"/>
    </xf>
    <xf numFmtId="0" fontId="3" fillId="0" borderId="31" xfId="5" applyBorder="1" applyAlignment="1">
      <alignment horizontal="center"/>
    </xf>
    <xf numFmtId="0" fontId="4" fillId="0" borderId="31" xfId="5" applyFont="1" applyBorder="1" applyAlignment="1">
      <alignment horizontal="center"/>
    </xf>
    <xf numFmtId="0" fontId="3" fillId="0" borderId="47" xfId="5" applyBorder="1" applyAlignment="1">
      <alignment horizontal="center"/>
    </xf>
    <xf numFmtId="0" fontId="3" fillId="0" borderId="22" xfId="5" applyBorder="1"/>
    <xf numFmtId="0" fontId="3" fillId="0" borderId="12" xfId="5" applyBorder="1"/>
    <xf numFmtId="0" fontId="3" fillId="0" borderId="40" xfId="5" applyBorder="1" applyAlignment="1">
      <alignment horizontal="center"/>
    </xf>
    <xf numFmtId="1" fontId="3" fillId="0" borderId="12" xfId="5" applyNumberFormat="1" applyBorder="1" applyAlignment="1">
      <alignment shrinkToFit="1"/>
    </xf>
    <xf numFmtId="3" fontId="3" fillId="0" borderId="22" xfId="5" applyNumberFormat="1" applyBorder="1" applyAlignment="1">
      <alignment shrinkToFit="1"/>
    </xf>
    <xf numFmtId="2" fontId="3" fillId="0" borderId="2" xfId="5" applyNumberFormat="1" applyBorder="1" applyAlignment="1">
      <alignment shrinkToFit="1"/>
    </xf>
    <xf numFmtId="3" fontId="3" fillId="0" borderId="12" xfId="5" applyNumberFormat="1" applyBorder="1" applyAlignment="1">
      <alignment shrinkToFit="1"/>
    </xf>
    <xf numFmtId="3" fontId="3" fillId="0" borderId="14" xfId="5" applyNumberFormat="1" applyBorder="1" applyAlignment="1">
      <alignment shrinkToFit="1"/>
    </xf>
    <xf numFmtId="3" fontId="3" fillId="3" borderId="14" xfId="5" applyNumberFormat="1" applyFill="1" applyBorder="1" applyAlignment="1" applyProtection="1">
      <alignment shrinkToFit="1"/>
      <protection locked="0"/>
    </xf>
    <xf numFmtId="3" fontId="3" fillId="2" borderId="14" xfId="5" applyNumberFormat="1" applyFill="1" applyBorder="1" applyAlignment="1" applyProtection="1">
      <alignment shrinkToFit="1"/>
      <protection locked="0"/>
    </xf>
    <xf numFmtId="3" fontId="4" fillId="0" borderId="2" xfId="5" applyNumberFormat="1" applyFont="1" applyBorder="1" applyAlignment="1">
      <alignment shrinkToFit="1"/>
    </xf>
    <xf numFmtId="3" fontId="3" fillId="3" borderId="31" xfId="5" applyNumberFormat="1" applyFill="1" applyBorder="1" applyAlignment="1" applyProtection="1">
      <alignment shrinkToFit="1"/>
      <protection locked="0"/>
    </xf>
    <xf numFmtId="3" fontId="4" fillId="0" borderId="31" xfId="5" applyNumberFormat="1" applyFont="1" applyBorder="1" applyAlignment="1">
      <alignment shrinkToFit="1"/>
    </xf>
    <xf numFmtId="3" fontId="3" fillId="0" borderId="47" xfId="5" applyNumberFormat="1" applyBorder="1" applyAlignment="1">
      <alignment shrinkToFit="1"/>
    </xf>
    <xf numFmtId="3" fontId="3" fillId="0" borderId="2" xfId="5" applyNumberFormat="1" applyBorder="1" applyAlignment="1">
      <alignment vertical="top" shrinkToFit="1"/>
    </xf>
    <xf numFmtId="3" fontId="3" fillId="0" borderId="22" xfId="5" applyNumberFormat="1" applyBorder="1" applyAlignment="1">
      <alignment vertical="top" shrinkToFit="1"/>
    </xf>
    <xf numFmtId="1" fontId="3" fillId="0" borderId="12" xfId="5" applyNumberFormat="1" applyBorder="1"/>
    <xf numFmtId="3" fontId="3" fillId="0" borderId="14" xfId="5" applyNumberFormat="1" applyBorder="1"/>
    <xf numFmtId="3" fontId="3" fillId="0" borderId="2" xfId="5" applyNumberFormat="1" applyBorder="1"/>
    <xf numFmtId="10" fontId="3" fillId="0" borderId="40" xfId="4" applyNumberFormat="1" applyFont="1" applyBorder="1" applyProtection="1"/>
    <xf numFmtId="1" fontId="3" fillId="0" borderId="40" xfId="5" applyNumberFormat="1" applyBorder="1" applyAlignment="1">
      <alignment shrinkToFit="1"/>
    </xf>
    <xf numFmtId="3" fontId="16" fillId="0" borderId="0" xfId="8" applyNumberFormat="1" applyFont="1" applyProtection="1"/>
    <xf numFmtId="1" fontId="3" fillId="0" borderId="15" xfId="5" applyNumberFormat="1" applyBorder="1" applyAlignment="1">
      <alignment shrinkToFit="1"/>
    </xf>
    <xf numFmtId="3" fontId="3" fillId="0" borderId="16" xfId="5" applyNumberFormat="1" applyBorder="1" applyAlignment="1">
      <alignment shrinkToFit="1"/>
    </xf>
    <xf numFmtId="2" fontId="3" fillId="0" borderId="17" xfId="5" applyNumberFormat="1" applyBorder="1" applyAlignment="1">
      <alignment shrinkToFit="1"/>
    </xf>
    <xf numFmtId="3" fontId="3" fillId="0" borderId="15" xfId="5" applyNumberFormat="1" applyBorder="1" applyAlignment="1">
      <alignment shrinkToFit="1"/>
    </xf>
    <xf numFmtId="3" fontId="3" fillId="3" borderId="16" xfId="5" applyNumberFormat="1" applyFill="1" applyBorder="1" applyAlignment="1" applyProtection="1">
      <alignment shrinkToFit="1"/>
      <protection locked="0"/>
    </xf>
    <xf numFmtId="3" fontId="3" fillId="2" borderId="16" xfId="5" applyNumberFormat="1" applyFill="1" applyBorder="1" applyAlignment="1" applyProtection="1">
      <alignment shrinkToFit="1"/>
      <protection locked="0"/>
    </xf>
    <xf numFmtId="3" fontId="3" fillId="0" borderId="23" xfId="5" applyNumberFormat="1" applyBorder="1" applyAlignment="1">
      <alignment shrinkToFit="1"/>
    </xf>
    <xf numFmtId="3" fontId="4" fillId="0" borderId="17" xfId="5" applyNumberFormat="1" applyFont="1" applyBorder="1" applyAlignment="1">
      <alignment shrinkToFit="1"/>
    </xf>
    <xf numFmtId="3" fontId="3" fillId="3" borderId="32" xfId="5" applyNumberFormat="1" applyFill="1" applyBorder="1" applyAlignment="1" applyProtection="1">
      <alignment shrinkToFit="1"/>
      <protection locked="0"/>
    </xf>
    <xf numFmtId="3" fontId="4" fillId="0" borderId="23" xfId="5" applyNumberFormat="1" applyFont="1" applyBorder="1" applyAlignment="1">
      <alignment shrinkToFit="1"/>
    </xf>
    <xf numFmtId="3" fontId="4" fillId="0" borderId="49" xfId="5" applyNumberFormat="1" applyFont="1" applyBorder="1" applyAlignment="1">
      <alignment shrinkToFit="1"/>
    </xf>
    <xf numFmtId="3" fontId="3" fillId="0" borderId="48" xfId="5" applyNumberFormat="1" applyBorder="1" applyAlignment="1">
      <alignment shrinkToFit="1"/>
    </xf>
    <xf numFmtId="3" fontId="3" fillId="0" borderId="17" xfId="5" applyNumberFormat="1" applyBorder="1" applyAlignment="1">
      <alignment vertical="top" shrinkToFit="1"/>
    </xf>
    <xf numFmtId="3" fontId="3" fillId="0" borderId="23" xfId="5" applyNumberFormat="1" applyBorder="1" applyAlignment="1">
      <alignment vertical="top" shrinkToFit="1"/>
    </xf>
    <xf numFmtId="1" fontId="3" fillId="0" borderId="15" xfId="5" applyNumberFormat="1" applyBorder="1"/>
    <xf numFmtId="3" fontId="3" fillId="0" borderId="16" xfId="5" applyNumberFormat="1" applyBorder="1"/>
    <xf numFmtId="3" fontId="3" fillId="0" borderId="17" xfId="5" applyNumberFormat="1" applyBorder="1"/>
    <xf numFmtId="10" fontId="3" fillId="0" borderId="44" xfId="4" applyNumberFormat="1" applyFont="1" applyBorder="1" applyProtection="1"/>
    <xf numFmtId="1" fontId="3" fillId="0" borderId="44" xfId="5" applyNumberFormat="1" applyBorder="1" applyAlignment="1">
      <alignment shrinkToFit="1"/>
    </xf>
    <xf numFmtId="0" fontId="7" fillId="0" borderId="0" xfId="2" applyFont="1" applyAlignment="1" applyProtection="1">
      <alignment vertical="center"/>
    </xf>
    <xf numFmtId="0" fontId="2" fillId="0" borderId="0" xfId="7" applyFont="1" applyAlignment="1">
      <alignment vertical="center"/>
    </xf>
    <xf numFmtId="0" fontId="4" fillId="0" borderId="0" xfId="7" applyFont="1" applyAlignment="1">
      <alignment vertical="center"/>
    </xf>
    <xf numFmtId="0" fontId="3" fillId="8" borderId="0" xfId="5" applyFill="1"/>
    <xf numFmtId="0" fontId="3" fillId="0" borderId="0" xfId="7" applyFont="1" applyAlignment="1">
      <alignment vertical="center"/>
    </xf>
    <xf numFmtId="0" fontId="2" fillId="0" borderId="24" xfId="7" applyFont="1" applyBorder="1" applyAlignment="1">
      <alignment vertical="center"/>
    </xf>
    <xf numFmtId="0" fontId="2" fillId="0" borderId="25" xfId="7" applyFont="1" applyBorder="1" applyAlignment="1">
      <alignment vertical="center"/>
    </xf>
    <xf numFmtId="0" fontId="2" fillId="8" borderId="25" xfId="7" applyFont="1" applyFill="1" applyBorder="1" applyAlignment="1" applyProtection="1">
      <alignment horizontal="center" vertical="center"/>
      <protection locked="0"/>
    </xf>
    <xf numFmtId="0" fontId="2" fillId="0" borderId="0" xfId="0" applyFont="1" applyAlignment="1">
      <alignment vertical="center"/>
    </xf>
    <xf numFmtId="0" fontId="2" fillId="0" borderId="26" xfId="7" applyFont="1" applyBorder="1" applyAlignment="1">
      <alignment vertical="center"/>
    </xf>
    <xf numFmtId="0" fontId="3" fillId="8" borderId="25" xfId="7" applyFont="1" applyFill="1" applyBorder="1" applyAlignment="1" applyProtection="1">
      <alignment horizontal="center" vertical="center"/>
      <protection locked="0"/>
    </xf>
    <xf numFmtId="0" fontId="2" fillId="0" borderId="27" xfId="7" applyFont="1" applyBorder="1" applyAlignment="1">
      <alignment vertical="center"/>
    </xf>
    <xf numFmtId="0" fontId="2" fillId="8" borderId="25" xfId="7" applyFont="1" applyFill="1" applyBorder="1" applyAlignment="1" applyProtection="1">
      <alignment vertical="center"/>
      <protection locked="0"/>
    </xf>
    <xf numFmtId="0" fontId="3" fillId="8" borderId="25" xfId="7" applyFont="1" applyFill="1" applyBorder="1" applyAlignment="1" applyProtection="1">
      <alignment vertical="center"/>
      <protection locked="0"/>
    </xf>
    <xf numFmtId="41" fontId="2" fillId="2" borderId="25" xfId="8" applyFont="1" applyFill="1" applyBorder="1" applyAlignment="1" applyProtection="1">
      <alignment vertical="center"/>
      <protection locked="0"/>
    </xf>
    <xf numFmtId="9" fontId="2" fillId="2" borderId="27" xfId="4" applyFont="1" applyFill="1" applyBorder="1" applyAlignment="1" applyProtection="1">
      <alignment vertical="center"/>
      <protection locked="0"/>
    </xf>
    <xf numFmtId="9" fontId="2" fillId="0" borderId="0" xfId="4" applyFont="1" applyAlignment="1" applyProtection="1">
      <alignment vertical="center"/>
    </xf>
    <xf numFmtId="171" fontId="2" fillId="2" borderId="25" xfId="7" applyNumberFormat="1" applyFont="1" applyFill="1" applyBorder="1" applyAlignment="1" applyProtection="1">
      <alignment vertical="center"/>
      <protection locked="0"/>
    </xf>
    <xf numFmtId="0" fontId="2" fillId="2" borderId="25" xfId="7" applyFont="1" applyFill="1" applyBorder="1" applyAlignment="1" applyProtection="1">
      <alignment vertical="center"/>
      <protection locked="0"/>
    </xf>
    <xf numFmtId="0" fontId="2" fillId="2" borderId="27" xfId="7" applyFont="1" applyFill="1" applyBorder="1" applyAlignment="1" applyProtection="1">
      <alignment vertical="center"/>
      <protection locked="0"/>
    </xf>
    <xf numFmtId="41" fontId="2" fillId="0" borderId="0" xfId="8" applyFont="1" applyAlignment="1" applyProtection="1">
      <alignment vertical="center"/>
    </xf>
    <xf numFmtId="41" fontId="2" fillId="0" borderId="25" xfId="7" applyNumberFormat="1" applyFont="1" applyBorder="1" applyAlignment="1">
      <alignment vertical="center"/>
    </xf>
    <xf numFmtId="41" fontId="3" fillId="0" borderId="25" xfId="7" applyNumberFormat="1" applyFont="1" applyBorder="1" applyAlignment="1">
      <alignment vertical="center"/>
    </xf>
    <xf numFmtId="3" fontId="2" fillId="0" borderId="0" xfId="0" applyNumberFormat="1" applyFont="1" applyAlignment="1">
      <alignment vertical="center"/>
    </xf>
    <xf numFmtId="0" fontId="14" fillId="0" borderId="27" xfId="7" applyFont="1" applyBorder="1" applyAlignment="1">
      <alignment vertical="center"/>
    </xf>
    <xf numFmtId="0" fontId="14" fillId="0" borderId="25" xfId="7" applyFont="1" applyBorder="1" applyAlignment="1">
      <alignment vertical="center"/>
    </xf>
    <xf numFmtId="41" fontId="4" fillId="0" borderId="25" xfId="7" applyNumberFormat="1" applyFont="1" applyBorder="1" applyAlignment="1">
      <alignment vertical="center"/>
    </xf>
    <xf numFmtId="3" fontId="14" fillId="0" borderId="0" xfId="0" applyNumberFormat="1" applyFont="1" applyAlignment="1">
      <alignment vertical="center"/>
    </xf>
    <xf numFmtId="173" fontId="14" fillId="0" borderId="25" xfId="7" applyNumberFormat="1" applyFont="1" applyBorder="1" applyAlignment="1">
      <alignment vertical="center"/>
    </xf>
    <xf numFmtId="0" fontId="14" fillId="0" borderId="0" xfId="0" applyFont="1" applyAlignment="1">
      <alignment vertical="center"/>
    </xf>
    <xf numFmtId="0" fontId="15" fillId="0" borderId="0" xfId="7" applyFont="1" applyAlignment="1">
      <alignment vertical="center"/>
    </xf>
    <xf numFmtId="167" fontId="3" fillId="0" borderId="0" xfId="5" applyNumberFormat="1"/>
    <xf numFmtId="0" fontId="3" fillId="0" borderId="3" xfId="5" applyBorder="1"/>
    <xf numFmtId="0" fontId="3" fillId="0" borderId="4" xfId="5" applyBorder="1"/>
    <xf numFmtId="0" fontId="3" fillId="2" borderId="4" xfId="5" applyFill="1" applyBorder="1" applyAlignment="1" applyProtection="1">
      <alignment horizontal="left"/>
      <protection locked="0"/>
    </xf>
    <xf numFmtId="0" fontId="3" fillId="0" borderId="4" xfId="5" applyBorder="1" applyAlignment="1">
      <alignment horizontal="left"/>
    </xf>
    <xf numFmtId="172" fontId="3" fillId="0" borderId="4" xfId="4" applyNumberFormat="1" applyFont="1" applyFill="1" applyBorder="1" applyProtection="1"/>
    <xf numFmtId="0" fontId="3" fillId="0" borderId="5" xfId="5" applyBorder="1"/>
    <xf numFmtId="0" fontId="3" fillId="2" borderId="0" xfId="5" applyFill="1" applyProtection="1">
      <protection locked="0"/>
    </xf>
    <xf numFmtId="0" fontId="3" fillId="0" borderId="7" xfId="5" applyBorder="1"/>
    <xf numFmtId="0" fontId="3" fillId="0" borderId="6" xfId="5" applyBorder="1"/>
    <xf numFmtId="0" fontId="3" fillId="0" borderId="8" xfId="5" applyBorder="1"/>
    <xf numFmtId="0" fontId="3" fillId="0" borderId="9" xfId="5" applyBorder="1"/>
    <xf numFmtId="0" fontId="3" fillId="0" borderId="10" xfId="5" applyBorder="1"/>
    <xf numFmtId="172" fontId="3" fillId="0" borderId="4" xfId="5" applyNumberFormat="1" applyBorder="1"/>
    <xf numFmtId="11" fontId="3" fillId="0" borderId="0" xfId="5" applyNumberFormat="1"/>
    <xf numFmtId="164" fontId="3" fillId="0" borderId="0" xfId="3" applyFont="1" applyAlignment="1"/>
    <xf numFmtId="0" fontId="21" fillId="0" borderId="0" xfId="5" applyFont="1"/>
    <xf numFmtId="0" fontId="10" fillId="0" borderId="0" xfId="0" applyFont="1"/>
    <xf numFmtId="0" fontId="4" fillId="2" borderId="0" xfId="5" applyFont="1" applyFill="1" applyProtection="1">
      <protection locked="0"/>
    </xf>
    <xf numFmtId="0" fontId="3" fillId="0" borderId="0" xfId="5" applyAlignment="1">
      <alignment vertical="top" wrapText="1"/>
    </xf>
    <xf numFmtId="4" fontId="3" fillId="2" borderId="0" xfId="5" applyNumberFormat="1" applyFill="1" applyProtection="1">
      <protection locked="0"/>
    </xf>
    <xf numFmtId="1" fontId="3" fillId="2" borderId="0" xfId="5" applyNumberFormat="1" applyFill="1" applyProtection="1">
      <protection locked="0"/>
    </xf>
    <xf numFmtId="3" fontId="3" fillId="2" borderId="0" xfId="5" applyNumberFormat="1" applyFill="1" applyProtection="1">
      <protection locked="0"/>
    </xf>
    <xf numFmtId="166" fontId="3" fillId="2" borderId="0" xfId="5" applyNumberFormat="1" applyFill="1" applyProtection="1">
      <protection locked="0"/>
    </xf>
    <xf numFmtId="0" fontId="3" fillId="0" borderId="0" xfId="5" applyAlignment="1">
      <alignment horizontal="right" vertical="top"/>
    </xf>
    <xf numFmtId="0" fontId="4" fillId="0" borderId="0" xfId="5" applyFont="1" applyAlignment="1">
      <alignment horizontal="right" vertical="top"/>
    </xf>
    <xf numFmtId="3" fontId="3" fillId="3" borderId="0" xfId="5" applyNumberFormat="1" applyFill="1" applyProtection="1">
      <protection locked="0"/>
    </xf>
    <xf numFmtId="0" fontId="3" fillId="0" borderId="0" xfId="5" applyProtection="1">
      <protection locked="0"/>
    </xf>
    <xf numFmtId="3" fontId="4" fillId="0" borderId="0" xfId="5" applyNumberFormat="1" applyFont="1" applyAlignment="1">
      <alignment horizontal="center"/>
    </xf>
    <xf numFmtId="0" fontId="4" fillId="0" borderId="0" xfId="5" applyFont="1" applyAlignment="1">
      <alignment horizontal="center"/>
    </xf>
    <xf numFmtId="0" fontId="3" fillId="3" borderId="0" xfId="5" applyFill="1" applyProtection="1">
      <protection locked="0"/>
    </xf>
    <xf numFmtId="0" fontId="4" fillId="0" borderId="0" xfId="0" applyFont="1" applyAlignment="1">
      <alignment horizontal="right"/>
    </xf>
    <xf numFmtId="3" fontId="3" fillId="0" borderId="0" xfId="5" applyNumberFormat="1" applyAlignment="1">
      <alignment horizontal="right"/>
    </xf>
    <xf numFmtId="0" fontId="4" fillId="0" borderId="0" xfId="5" applyFont="1" applyAlignment="1">
      <alignment horizontal="right" vertical="center"/>
    </xf>
    <xf numFmtId="0" fontId="3" fillId="0" borderId="0" xfId="5" applyAlignment="1" applyProtection="1">
      <alignment vertical="top"/>
      <protection locked="0"/>
    </xf>
    <xf numFmtId="0" fontId="6" fillId="0" borderId="0" xfId="5" applyFont="1" applyAlignment="1" applyProtection="1">
      <alignment vertical="top"/>
      <protection locked="0"/>
    </xf>
    <xf numFmtId="0" fontId="3" fillId="0" borderId="11" xfId="6" applyBorder="1" applyAlignment="1" applyProtection="1">
      <alignment vertical="top"/>
      <protection locked="0"/>
    </xf>
    <xf numFmtId="0" fontId="4" fillId="0" borderId="1" xfId="6" applyFont="1" applyBorder="1" applyAlignment="1">
      <alignment vertical="top" wrapText="1"/>
    </xf>
    <xf numFmtId="0" fontId="3" fillId="0" borderId="0" xfId="6" applyAlignment="1" applyProtection="1">
      <alignment vertical="top"/>
      <protection locked="0"/>
    </xf>
    <xf numFmtId="0" fontId="3" fillId="0" borderId="12" xfId="6" applyBorder="1" applyAlignment="1" applyProtection="1">
      <alignment vertical="top"/>
      <protection locked="0"/>
    </xf>
    <xf numFmtId="0" fontId="4" fillId="0" borderId="2" xfId="6" applyFont="1" applyBorder="1" applyAlignment="1">
      <alignment vertical="top" wrapText="1"/>
    </xf>
    <xf numFmtId="0" fontId="3" fillId="0" borderId="2" xfId="6" applyBorder="1" applyAlignment="1">
      <alignment vertical="top" wrapText="1"/>
    </xf>
    <xf numFmtId="0" fontId="3" fillId="0" borderId="12" xfId="0" applyFont="1" applyBorder="1" applyAlignment="1" applyProtection="1">
      <alignment vertical="top"/>
      <protection locked="0"/>
    </xf>
    <xf numFmtId="0" fontId="3" fillId="3" borderId="2" xfId="6" applyFill="1" applyBorder="1" applyAlignment="1">
      <alignment vertical="top" wrapText="1"/>
    </xf>
    <xf numFmtId="0" fontId="3" fillId="8" borderId="2" xfId="6" applyFill="1" applyBorder="1" applyAlignment="1">
      <alignment vertical="top" wrapText="1"/>
    </xf>
    <xf numFmtId="0" fontId="3" fillId="6" borderId="2" xfId="6" applyFill="1" applyBorder="1" applyAlignment="1">
      <alignment vertical="top" wrapText="1"/>
    </xf>
    <xf numFmtId="0" fontId="3" fillId="0" borderId="12" xfId="2" applyFont="1" applyBorder="1" applyAlignment="1" applyProtection="1">
      <alignment vertical="top"/>
      <protection locked="0"/>
    </xf>
    <xf numFmtId="0" fontId="3" fillId="0" borderId="12" xfId="2" applyFont="1" applyFill="1" applyBorder="1" applyAlignment="1" applyProtection="1">
      <alignment vertical="top"/>
      <protection locked="0"/>
    </xf>
    <xf numFmtId="0" fontId="4" fillId="0" borderId="0" xfId="6" applyFont="1" applyAlignment="1" applyProtection="1">
      <alignment vertical="top"/>
      <protection locked="0"/>
    </xf>
    <xf numFmtId="0" fontId="3" fillId="0" borderId="12" xfId="0" applyFont="1" applyBorder="1" applyAlignment="1" applyProtection="1">
      <alignment horizontal="right" vertical="top" wrapText="1"/>
      <protection locked="0"/>
    </xf>
    <xf numFmtId="0" fontId="3" fillId="9" borderId="0" xfId="6" applyFill="1" applyAlignment="1" applyProtection="1">
      <alignment vertical="top"/>
      <protection locked="0"/>
    </xf>
    <xf numFmtId="0" fontId="4" fillId="0" borderId="2" xfId="6" applyFont="1" applyBorder="1" applyAlignment="1">
      <alignment horizontal="left" vertical="top" wrapText="1"/>
    </xf>
    <xf numFmtId="0" fontId="3" fillId="0" borderId="42" xfId="6" applyBorder="1" applyAlignment="1" applyProtection="1">
      <alignment vertical="top"/>
      <protection locked="0"/>
    </xf>
    <xf numFmtId="0" fontId="3" fillId="0" borderId="43" xfId="6" applyBorder="1" applyAlignment="1">
      <alignment vertical="top" wrapText="1"/>
    </xf>
    <xf numFmtId="0" fontId="3" fillId="0" borderId="41" xfId="6" applyBorder="1" applyAlignment="1" applyProtection="1">
      <alignment vertical="top"/>
      <protection locked="0"/>
    </xf>
    <xf numFmtId="0" fontId="3" fillId="0" borderId="41" xfId="6" applyBorder="1" applyAlignment="1">
      <alignment vertical="top" wrapText="1"/>
    </xf>
    <xf numFmtId="0" fontId="3" fillId="0" borderId="0" xfId="6" applyAlignment="1">
      <alignment vertical="top" wrapText="1"/>
    </xf>
    <xf numFmtId="0" fontId="23" fillId="0" borderId="0" xfId="5" applyFont="1"/>
    <xf numFmtId="0" fontId="3" fillId="10" borderId="13" xfId="5" applyFill="1" applyBorder="1" applyAlignment="1" applyProtection="1">
      <alignment vertical="center" wrapText="1"/>
      <protection locked="0"/>
    </xf>
    <xf numFmtId="3" fontId="3" fillId="10" borderId="14" xfId="5" applyNumberFormat="1" applyFill="1" applyBorder="1" applyAlignment="1" applyProtection="1">
      <alignment shrinkToFit="1"/>
      <protection locked="0"/>
    </xf>
    <xf numFmtId="3" fontId="3" fillId="10" borderId="16" xfId="5" applyNumberFormat="1" applyFill="1" applyBorder="1" applyAlignment="1" applyProtection="1">
      <alignment shrinkToFit="1"/>
      <protection locked="0"/>
    </xf>
    <xf numFmtId="10" fontId="3" fillId="10" borderId="0" xfId="4" applyNumberFormat="1" applyFont="1" applyFill="1" applyBorder="1" applyProtection="1">
      <protection locked="0"/>
    </xf>
    <xf numFmtId="0" fontId="3" fillId="10" borderId="0" xfId="5" applyFill="1"/>
    <xf numFmtId="41" fontId="2" fillId="10" borderId="25" xfId="7" applyNumberFormat="1" applyFont="1" applyFill="1" applyBorder="1" applyAlignment="1" applyProtection="1">
      <alignment vertical="center"/>
      <protection locked="0"/>
    </xf>
    <xf numFmtId="0" fontId="23" fillId="0" borderId="0" xfId="7" applyFont="1" applyAlignment="1">
      <alignment vertical="center"/>
    </xf>
    <xf numFmtId="3" fontId="3" fillId="10" borderId="0" xfId="5" applyNumberFormat="1" applyFill="1" applyProtection="1">
      <protection locked="0"/>
    </xf>
    <xf numFmtId="1" fontId="3" fillId="10" borderId="0" xfId="5" applyNumberFormat="1" applyFill="1" applyProtection="1">
      <protection locked="0"/>
    </xf>
    <xf numFmtId="2" fontId="3" fillId="10" borderId="0" xfId="5" applyNumberFormat="1" applyFill="1" applyProtection="1">
      <protection locked="0"/>
    </xf>
    <xf numFmtId="0" fontId="3" fillId="10" borderId="0" xfId="5" applyFill="1" applyProtection="1">
      <protection locked="0"/>
    </xf>
    <xf numFmtId="0" fontId="23" fillId="0" borderId="0" xfId="5" applyFont="1" applyAlignment="1">
      <alignment vertical="top" wrapText="1"/>
    </xf>
    <xf numFmtId="0" fontId="3" fillId="10" borderId="2" xfId="6" applyFill="1" applyBorder="1" applyAlignment="1">
      <alignment vertical="top" wrapText="1"/>
    </xf>
    <xf numFmtId="2" fontId="3" fillId="0" borderId="0" xfId="5" applyNumberFormat="1"/>
    <xf numFmtId="0" fontId="1" fillId="0" borderId="0" xfId="0" applyFont="1"/>
    <xf numFmtId="0" fontId="1" fillId="0" borderId="0" xfId="0" applyFont="1" applyAlignment="1">
      <alignment vertical="top"/>
    </xf>
    <xf numFmtId="0" fontId="4" fillId="0" borderId="0" xfId="5" applyFont="1" applyAlignment="1">
      <alignment horizontal="left"/>
    </xf>
    <xf numFmtId="0" fontId="3" fillId="0" borderId="0" xfId="5" applyAlignment="1">
      <alignment horizontal="left"/>
    </xf>
    <xf numFmtId="0" fontId="3" fillId="0" borderId="0" xfId="5" applyAlignment="1">
      <alignment horizontal="right"/>
    </xf>
    <xf numFmtId="0" fontId="20" fillId="0" borderId="0" xfId="5" applyFont="1"/>
    <xf numFmtId="0" fontId="4" fillId="0" borderId="0" xfId="5" applyFont="1" applyAlignment="1">
      <alignment horizontal="right"/>
    </xf>
    <xf numFmtId="0" fontId="3" fillId="2" borderId="0" xfId="5" applyFill="1"/>
    <xf numFmtId="0" fontId="3" fillId="10" borderId="0" xfId="5" applyFill="1"/>
    <xf numFmtId="0" fontId="3" fillId="0" borderId="0" xfId="5" applyAlignment="1">
      <alignment horizontal="left" vertical="top" wrapText="1"/>
    </xf>
    <xf numFmtId="0" fontId="3" fillId="3" borderId="0" xfId="5" applyFill="1" applyAlignment="1" applyProtection="1">
      <alignment horizontal="left" vertical="top" wrapText="1"/>
      <protection locked="0"/>
    </xf>
    <xf numFmtId="0" fontId="2" fillId="0" borderId="33" xfId="0" applyFont="1" applyBorder="1" applyAlignment="1">
      <alignment horizontal="left" vertical="top" wrapText="1"/>
    </xf>
    <xf numFmtId="0" fontId="2" fillId="0" borderId="34" xfId="0" applyFont="1" applyBorder="1" applyAlignment="1">
      <alignment horizontal="left" vertical="top" wrapText="1"/>
    </xf>
    <xf numFmtId="0" fontId="3" fillId="0" borderId="33" xfId="0" applyFont="1" applyBorder="1" applyAlignment="1">
      <alignment horizontal="left" vertical="top" wrapText="1"/>
    </xf>
    <xf numFmtId="0" fontId="3" fillId="0" borderId="34" xfId="0" applyFont="1" applyBorder="1" applyAlignment="1">
      <alignment horizontal="left" vertical="top" wrapText="1"/>
    </xf>
  </cellXfs>
  <cellStyles count="10">
    <cellStyle name="Dezimal [0]" xfId="8" builtinId="6"/>
    <cellStyle name="Dezimal [0] 2" xfId="9" xr:uid="{A20A54E0-DEC7-46A0-9E7A-21C534D0AF8D}"/>
    <cellStyle name="Euro" xfId="1" xr:uid="{00000000-0005-0000-0000-000001000000}"/>
    <cellStyle name="Komma" xfId="3" builtinId="3"/>
    <cellStyle name="Link" xfId="2" builtinId="8" customBuiltin="1"/>
    <cellStyle name="Prozent" xfId="4" builtinId="5"/>
    <cellStyle name="Standard" xfId="0" builtinId="0"/>
    <cellStyle name="Standard 2" xfId="7" xr:uid="{00000000-0005-0000-0000-000006000000}"/>
    <cellStyle name="Standard_2008-03_Grundpreis_Messpreis_Arbeitspreis" xfId="5" xr:uid="{00000000-0005-0000-0000-000007000000}"/>
    <cellStyle name="Standard_Betriebsbericht_Vorlage_V05_080211" xfId="6" xr:uid="{00000000-0005-0000-0000-000008000000}"/>
  </cellStyles>
  <dxfs count="5">
    <dxf>
      <fill>
        <patternFill>
          <bgColor rgb="FFFFFF99"/>
        </patternFill>
      </fill>
    </dxf>
    <dxf>
      <font>
        <color theme="0"/>
      </font>
      <fill>
        <patternFill>
          <bgColor theme="0"/>
        </patternFill>
      </fill>
    </dxf>
    <dxf>
      <fill>
        <patternFill>
          <bgColor rgb="FFFF0000"/>
        </patternFill>
      </fill>
    </dxf>
    <dxf>
      <fill>
        <patternFill>
          <bgColor rgb="FFFF0000"/>
        </patternFill>
      </fill>
    </dxf>
    <dxf>
      <font>
        <color theme="0"/>
      </font>
    </dxf>
  </dxfs>
  <tableStyles count="0" defaultTableStyle="TableStyleMedium9" defaultPivotStyle="PivotStyleLight16"/>
  <colors>
    <mruColors>
      <color rgb="FFD5001C"/>
      <color rgb="FFD8E4BC"/>
      <color rgb="FFFFFF66"/>
      <color rgb="FFFFFF99"/>
      <color rgb="FFFFFFCC"/>
      <color rgb="FFF5D9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de-DE" sz="1400" b="1"/>
              <a:t>Wirtschaftliche Entwicklung</a:t>
            </a:r>
          </a:p>
        </c:rich>
      </c:tx>
      <c:layout>
        <c:manualLayout>
          <c:xMode val="edge"/>
          <c:yMode val="edge"/>
          <c:x val="0.34179708005249299"/>
          <c:y val="2.8333333333333301E-2"/>
        </c:manualLayout>
      </c:layout>
      <c:overlay val="0"/>
      <c:spPr>
        <a:noFill/>
        <a:ln w="25400">
          <a:noFill/>
        </a:ln>
      </c:spPr>
    </c:title>
    <c:autoTitleDeleted val="0"/>
    <c:plotArea>
      <c:layout>
        <c:manualLayout>
          <c:layoutTarget val="inner"/>
          <c:xMode val="edge"/>
          <c:yMode val="edge"/>
          <c:x val="8.8946321534753472E-2"/>
          <c:y val="0.12414660354729856"/>
          <c:w val="0.88371037865343438"/>
          <c:h val="0.72164912695634031"/>
        </c:manualLayout>
      </c:layout>
      <c:lineChart>
        <c:grouping val="standard"/>
        <c:varyColors val="0"/>
        <c:ser>
          <c:idx val="1"/>
          <c:order val="0"/>
          <c:tx>
            <c:strRef>
              <c:f>B1_Calculs!$E$31</c:f>
              <c:strCache>
                <c:ptCount val="1"/>
                <c:pt idx="0">
                  <c:v>Dépenses</c:v>
                </c:pt>
              </c:strCache>
            </c:strRef>
          </c:tx>
          <c:spPr>
            <a:ln w="25400">
              <a:solidFill>
                <a:srgbClr val="FF00FF"/>
              </a:solidFill>
              <a:prstDash val="solid"/>
            </a:ln>
          </c:spPr>
          <c:marker>
            <c:symbol val="none"/>
          </c:marke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B1_Calculs!$O$36:$O$60</c:f>
              <c:numCache>
                <c:formatCode>#,##0</c:formatCode>
                <c:ptCount val="25"/>
                <c:pt idx="0">
                  <c:v>42400</c:v>
                </c:pt>
                <c:pt idx="1">
                  <c:v>40907.333333333336</c:v>
                </c:pt>
                <c:pt idx="2">
                  <c:v>135165.74597222221</c:v>
                </c:pt>
                <c:pt idx="3">
                  <c:v>188406.64088045835</c:v>
                </c:pt>
                <c:pt idx="4">
                  <c:v>257051.65294678809</c:v>
                </c:pt>
                <c:pt idx="5">
                  <c:v>260024.0149463625</c:v>
                </c:pt>
                <c:pt idx="6">
                  <c:v>258966.87732750765</c:v>
                </c:pt>
                <c:pt idx="7">
                  <c:v>257915.97357024092</c:v>
                </c:pt>
                <c:pt idx="8">
                  <c:v>261671.36599932137</c:v>
                </c:pt>
                <c:pt idx="9">
                  <c:v>259673.11756275664</c:v>
                </c:pt>
                <c:pt idx="10">
                  <c:v>257681.29183803586</c:v>
                </c:pt>
                <c:pt idx="11">
                  <c:v>255695.95303842457</c:v>
                </c:pt>
                <c:pt idx="12">
                  <c:v>253717.16601932229</c:v>
                </c:pt>
                <c:pt idx="13">
                  <c:v>251744.99628468402</c:v>
                </c:pt>
                <c:pt idx="14">
                  <c:v>250739.50999350546</c:v>
                </c:pt>
                <c:pt idx="15">
                  <c:v>249740.77396637382</c:v>
                </c:pt>
                <c:pt idx="16">
                  <c:v>250415.52235875031</c:v>
                </c:pt>
                <c:pt idx="17">
                  <c:v>251311.78194147858</c:v>
                </c:pt>
                <c:pt idx="18">
                  <c:v>252000.37101222735</c:v>
                </c:pt>
                <c:pt idx="19">
                  <c:v>252695.98437859979</c:v>
                </c:pt>
                <c:pt idx="20">
                  <c:v>253398.69226971181</c:v>
                </c:pt>
                <c:pt idx="21">
                  <c:v>254108.56561697152</c:v>
                </c:pt>
                <c:pt idx="22">
                  <c:v>259229.47686006228</c:v>
                </c:pt>
                <c:pt idx="23">
                  <c:v>259953.89675819743</c:v>
                </c:pt>
                <c:pt idx="24">
                  <c:v>260685.6991910417</c:v>
                </c:pt>
              </c:numCache>
            </c:numRef>
          </c:val>
          <c:smooth val="0"/>
          <c:extLst>
            <c:ext xmlns:c16="http://schemas.microsoft.com/office/drawing/2014/chart" uri="{C3380CC4-5D6E-409C-BE32-E72D297353CC}">
              <c16:uniqueId val="{00000000-6D9B-4A28-A9DF-19D2BF06519A}"/>
            </c:ext>
          </c:extLst>
        </c:ser>
        <c:ser>
          <c:idx val="2"/>
          <c:order val="1"/>
          <c:tx>
            <c:strRef>
              <c:f>B1_Calculs!$P$31</c:f>
              <c:strCache>
                <c:ptCount val="1"/>
                <c:pt idx="0">
                  <c:v>Recettes</c:v>
                </c:pt>
              </c:strCache>
            </c:strRef>
          </c:tx>
          <c:spPr>
            <a:ln w="25400">
              <a:solidFill>
                <a:srgbClr val="FFFF00"/>
              </a:solidFill>
              <a:prstDash val="solid"/>
            </a:ln>
          </c:spPr>
          <c:marker>
            <c:symbol val="none"/>
          </c:marke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B1_Calculs!$U$36:$U$60</c:f>
              <c:numCache>
                <c:formatCode>#,##0</c:formatCode>
                <c:ptCount val="25"/>
                <c:pt idx="0">
                  <c:v>0</c:v>
                </c:pt>
                <c:pt idx="1">
                  <c:v>0</c:v>
                </c:pt>
                <c:pt idx="2">
                  <c:v>258000.637625</c:v>
                </c:pt>
                <c:pt idx="3">
                  <c:v>701395.17619491345</c:v>
                </c:pt>
                <c:pt idx="4">
                  <c:v>337084.93450852402</c:v>
                </c:pt>
                <c:pt idx="5">
                  <c:v>297856.0340102351</c:v>
                </c:pt>
                <c:pt idx="6">
                  <c:v>298846.83851148636</c:v>
                </c:pt>
                <c:pt idx="7">
                  <c:v>299847.739833334</c:v>
                </c:pt>
                <c:pt idx="8">
                  <c:v>300858.83892510645</c:v>
                </c:pt>
                <c:pt idx="9">
                  <c:v>301880.2377456273</c:v>
                </c:pt>
                <c:pt idx="10">
                  <c:v>302912.03927331022</c:v>
                </c:pt>
                <c:pt idx="11">
                  <c:v>303954.34751635487</c:v>
                </c:pt>
                <c:pt idx="12">
                  <c:v>305007.26752304501</c:v>
                </c:pt>
                <c:pt idx="13">
                  <c:v>306070.90539214888</c:v>
                </c:pt>
                <c:pt idx="14">
                  <c:v>307145.36828342447</c:v>
                </c:pt>
                <c:pt idx="15">
                  <c:v>308230.76442822895</c:v>
                </c:pt>
                <c:pt idx="16">
                  <c:v>309327.20314023539</c:v>
                </c:pt>
                <c:pt idx="17">
                  <c:v>310434.79482625506</c:v>
                </c:pt>
                <c:pt idx="18">
                  <c:v>311553.65099716949</c:v>
                </c:pt>
                <c:pt idx="19">
                  <c:v>302683.88427897077</c:v>
                </c:pt>
                <c:pt idx="20">
                  <c:v>303825.6084239129</c:v>
                </c:pt>
                <c:pt idx="21">
                  <c:v>304978.93832177424</c:v>
                </c:pt>
                <c:pt idx="22">
                  <c:v>306143.99001123285</c:v>
                </c:pt>
                <c:pt idx="23">
                  <c:v>307320.88069135533</c:v>
                </c:pt>
                <c:pt idx="24">
                  <c:v>308509.72873320116</c:v>
                </c:pt>
              </c:numCache>
            </c:numRef>
          </c:val>
          <c:smooth val="0"/>
          <c:extLst>
            <c:ext xmlns:c16="http://schemas.microsoft.com/office/drawing/2014/chart" uri="{C3380CC4-5D6E-409C-BE32-E72D297353CC}">
              <c16:uniqueId val="{00000001-6D9B-4A28-A9DF-19D2BF06519A}"/>
            </c:ext>
          </c:extLst>
        </c:ser>
        <c:ser>
          <c:idx val="3"/>
          <c:order val="2"/>
          <c:tx>
            <c:strRef>
              <c:f>B1_Calculs!$AA$33</c:f>
              <c:strCache>
                <c:ptCount val="1"/>
                <c:pt idx="0">
                  <c:v>Cash-flow</c:v>
                </c:pt>
              </c:strCache>
            </c:strRef>
          </c:tx>
          <c:spPr>
            <a:ln w="25400">
              <a:solidFill>
                <a:srgbClr val="00FFFF"/>
              </a:solidFill>
              <a:prstDash val="solid"/>
            </a:ln>
          </c:spPr>
          <c:marker>
            <c:symbol val="none"/>
          </c:marke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B1_Calculs!$AA$36:$AA$60</c:f>
              <c:numCache>
                <c:formatCode>#,##0</c:formatCode>
                <c:ptCount val="25"/>
                <c:pt idx="0">
                  <c:v>630600</c:v>
                </c:pt>
                <c:pt idx="1">
                  <c:v>-598074</c:v>
                </c:pt>
                <c:pt idx="2">
                  <c:v>-717498.44168055546</c:v>
                </c:pt>
                <c:pt idx="3">
                  <c:v>490155.20198112173</c:v>
                </c:pt>
                <c:pt idx="4">
                  <c:v>57199.948228402602</c:v>
                </c:pt>
                <c:pt idx="5">
                  <c:v>14998.685730539277</c:v>
                </c:pt>
                <c:pt idx="6">
                  <c:v>17046.627850645382</c:v>
                </c:pt>
                <c:pt idx="7">
                  <c:v>19098.432929759743</c:v>
                </c:pt>
                <c:pt idx="8">
                  <c:v>136354.13959245174</c:v>
                </c:pt>
                <c:pt idx="9">
                  <c:v>-4626.2131504626741</c:v>
                </c:pt>
                <c:pt idx="10">
                  <c:v>-1602.5858980589692</c:v>
                </c:pt>
                <c:pt idx="11">
                  <c:v>1425.0611445969698</c:v>
                </c:pt>
                <c:pt idx="12">
                  <c:v>4456.7681703893904</c:v>
                </c:pt>
                <c:pt idx="13">
                  <c:v>7492.5757741315319</c:v>
                </c:pt>
                <c:pt idx="14">
                  <c:v>33572.524956585679</c:v>
                </c:pt>
                <c:pt idx="15">
                  <c:v>35656.657128521809</c:v>
                </c:pt>
                <c:pt idx="16">
                  <c:v>102745.01411481842</c:v>
                </c:pt>
                <c:pt idx="17">
                  <c:v>79951.592384536518</c:v>
                </c:pt>
                <c:pt idx="18">
                  <c:v>103601.23859210213</c:v>
                </c:pt>
                <c:pt idx="19">
                  <c:v>94035.858507530967</c:v>
                </c:pt>
                <c:pt idx="20">
                  <c:v>94474.874761361076</c:v>
                </c:pt>
                <c:pt idx="21">
                  <c:v>94918.331311962713</c:v>
                </c:pt>
                <c:pt idx="22">
                  <c:v>-392709.74342189694</c:v>
                </c:pt>
                <c:pt idx="23">
                  <c:v>95818.743339277222</c:v>
                </c:pt>
                <c:pt idx="24">
                  <c:v>96275.788948278787</c:v>
                </c:pt>
              </c:numCache>
            </c:numRef>
          </c:val>
          <c:smooth val="0"/>
          <c:extLst>
            <c:ext xmlns:c16="http://schemas.microsoft.com/office/drawing/2014/chart" uri="{C3380CC4-5D6E-409C-BE32-E72D297353CC}">
              <c16:uniqueId val="{00000002-6D9B-4A28-A9DF-19D2BF06519A}"/>
            </c:ext>
          </c:extLst>
        </c:ser>
        <c:ser>
          <c:idx val="4"/>
          <c:order val="3"/>
          <c:tx>
            <c:strRef>
              <c:f>B1_Calculs!$AB$33</c:f>
              <c:strCache>
                <c:ptCount val="1"/>
                <c:pt idx="0">
                  <c:v>Cash-flow cumulé</c:v>
                </c:pt>
              </c:strCache>
            </c:strRef>
          </c:tx>
          <c:spPr>
            <a:ln w="25400">
              <a:solidFill>
                <a:srgbClr val="800080"/>
              </a:solidFill>
              <a:prstDash val="solid"/>
            </a:ln>
          </c:spPr>
          <c:marker>
            <c:symbol val="none"/>
          </c:marke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B1_Calculs!$AB$36:$AB$60</c:f>
              <c:numCache>
                <c:formatCode>#,##0</c:formatCode>
                <c:ptCount val="25"/>
                <c:pt idx="0">
                  <c:v>630600</c:v>
                </c:pt>
                <c:pt idx="1">
                  <c:v>32526</c:v>
                </c:pt>
                <c:pt idx="2">
                  <c:v>-684972.44168055546</c:v>
                </c:pt>
                <c:pt idx="3">
                  <c:v>-194817.23969943373</c:v>
                </c:pt>
                <c:pt idx="4">
                  <c:v>-137617.29147103115</c:v>
                </c:pt>
                <c:pt idx="5">
                  <c:v>-122618.60574049187</c:v>
                </c:pt>
                <c:pt idx="6">
                  <c:v>-105571.97788984649</c:v>
                </c:pt>
                <c:pt idx="7">
                  <c:v>-86473.544960086743</c:v>
                </c:pt>
                <c:pt idx="8">
                  <c:v>49880.594632364999</c:v>
                </c:pt>
                <c:pt idx="9">
                  <c:v>45254.381481902325</c:v>
                </c:pt>
                <c:pt idx="10">
                  <c:v>43651.795583843355</c:v>
                </c:pt>
                <c:pt idx="11">
                  <c:v>45076.856728440325</c:v>
                </c:pt>
                <c:pt idx="12">
                  <c:v>49533.624898829716</c:v>
                </c:pt>
                <c:pt idx="13">
                  <c:v>57026.200672961248</c:v>
                </c:pt>
                <c:pt idx="14">
                  <c:v>90598.725629546927</c:v>
                </c:pt>
                <c:pt idx="15">
                  <c:v>126255.38275806874</c:v>
                </c:pt>
                <c:pt idx="16">
                  <c:v>229000.39687288716</c:v>
                </c:pt>
                <c:pt idx="17">
                  <c:v>308951.98925742367</c:v>
                </c:pt>
                <c:pt idx="18">
                  <c:v>412553.22784952581</c:v>
                </c:pt>
                <c:pt idx="19">
                  <c:v>506589.08635705675</c:v>
                </c:pt>
                <c:pt idx="20">
                  <c:v>601063.96111841779</c:v>
                </c:pt>
                <c:pt idx="21">
                  <c:v>695982.29243038048</c:v>
                </c:pt>
                <c:pt idx="22">
                  <c:v>303272.54900848353</c:v>
                </c:pt>
                <c:pt idx="23">
                  <c:v>399091.29234776075</c:v>
                </c:pt>
                <c:pt idx="24">
                  <c:v>495367.08129603951</c:v>
                </c:pt>
              </c:numCache>
            </c:numRef>
          </c:val>
          <c:smooth val="0"/>
          <c:extLst>
            <c:ext xmlns:c16="http://schemas.microsoft.com/office/drawing/2014/chart" uri="{C3380CC4-5D6E-409C-BE32-E72D297353CC}">
              <c16:uniqueId val="{00000003-6D9B-4A28-A9DF-19D2BF06519A}"/>
            </c:ext>
          </c:extLst>
        </c:ser>
        <c:ser>
          <c:idx val="0"/>
          <c:order val="4"/>
          <c:tx>
            <c:strRef>
              <c:f>B1_Calculs!$AE$33</c:f>
              <c:strCache>
                <c:ptCount val="1"/>
                <c:pt idx="0">
                  <c:v>Solde du crédit</c:v>
                </c:pt>
              </c:strCache>
            </c:strRef>
          </c:tx>
          <c:spPr>
            <a:ln w="25400">
              <a:solidFill>
                <a:srgbClr val="000080"/>
              </a:solidFill>
              <a:prstDash val="solid"/>
            </a:ln>
          </c:spPr>
          <c:marker>
            <c:symbol val="none"/>
          </c:marke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B1_Calculs!$AE$36:$AE$60</c:f>
              <c:numCache>
                <c:formatCode>#,##0</c:formatCode>
                <c:ptCount val="25"/>
                <c:pt idx="0">
                  <c:v>-1000000</c:v>
                </c:pt>
                <c:pt idx="1">
                  <c:v>-933333.33333333337</c:v>
                </c:pt>
                <c:pt idx="2">
                  <c:v>-866666.66666666663</c:v>
                </c:pt>
                <c:pt idx="3">
                  <c:v>-800000</c:v>
                </c:pt>
                <c:pt idx="4">
                  <c:v>-733333.33333333326</c:v>
                </c:pt>
                <c:pt idx="5">
                  <c:v>-666666.66666666663</c:v>
                </c:pt>
                <c:pt idx="6">
                  <c:v>-600000</c:v>
                </c:pt>
                <c:pt idx="7">
                  <c:v>-533333.33333333326</c:v>
                </c:pt>
                <c:pt idx="8">
                  <c:v>-586666.66666666663</c:v>
                </c:pt>
                <c:pt idx="9">
                  <c:v>-496000</c:v>
                </c:pt>
                <c:pt idx="10">
                  <c:v>-405333.33333333326</c:v>
                </c:pt>
                <c:pt idx="11">
                  <c:v>-314666.66666666663</c:v>
                </c:pt>
                <c:pt idx="12">
                  <c:v>-224000</c:v>
                </c:pt>
                <c:pt idx="13">
                  <c:v>-133333.33333333326</c:v>
                </c:pt>
                <c:pt idx="14">
                  <c:v>-66666.666666666628</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4-6D9B-4A28-A9DF-19D2BF06519A}"/>
            </c:ext>
          </c:extLst>
        </c:ser>
        <c:ser>
          <c:idx val="5"/>
          <c:order val="5"/>
          <c:tx>
            <c:strRef>
              <c:f>B1_Calculs!$AF$33</c:f>
              <c:strCache>
                <c:ptCount val="1"/>
                <c:pt idx="0">
                  <c:v>Valeur résiduelle des installations</c:v>
                </c:pt>
              </c:strCache>
            </c:strRef>
          </c:tx>
          <c:marker>
            <c:symbol val="none"/>
          </c:marke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B1_Calculs!$AF$36:$AF$60</c:f>
              <c:numCache>
                <c:formatCode>#,##0</c:formatCode>
                <c:ptCount val="25"/>
                <c:pt idx="0">
                  <c:v>284000</c:v>
                </c:pt>
                <c:pt idx="1">
                  <c:v>710000</c:v>
                </c:pt>
                <c:pt idx="2">
                  <c:v>1376166.6666666667</c:v>
                </c:pt>
                <c:pt idx="3">
                  <c:v>1332333.3333333335</c:v>
                </c:pt>
                <c:pt idx="4">
                  <c:v>1288500.0000000002</c:v>
                </c:pt>
                <c:pt idx="5">
                  <c:v>1244666.666666667</c:v>
                </c:pt>
                <c:pt idx="6">
                  <c:v>1200833.3333333337</c:v>
                </c:pt>
                <c:pt idx="7">
                  <c:v>1157000.0000000005</c:v>
                </c:pt>
                <c:pt idx="8">
                  <c:v>1113166.6666666672</c:v>
                </c:pt>
                <c:pt idx="9">
                  <c:v>1069333.333333334</c:v>
                </c:pt>
                <c:pt idx="10">
                  <c:v>1025500.0000000006</c:v>
                </c:pt>
                <c:pt idx="11">
                  <c:v>981666.66666666721</c:v>
                </c:pt>
                <c:pt idx="12">
                  <c:v>937833.33333333384</c:v>
                </c:pt>
                <c:pt idx="13">
                  <c:v>894000.00000000047</c:v>
                </c:pt>
                <c:pt idx="14">
                  <c:v>850166.66666666709</c:v>
                </c:pt>
                <c:pt idx="15">
                  <c:v>806333.33333333372</c:v>
                </c:pt>
                <c:pt idx="16">
                  <c:v>762500.00000000035</c:v>
                </c:pt>
                <c:pt idx="17">
                  <c:v>741671.42050024029</c:v>
                </c:pt>
                <c:pt idx="18">
                  <c:v>697623.46189308027</c:v>
                </c:pt>
                <c:pt idx="19">
                  <c:v>653575.50328592025</c:v>
                </c:pt>
                <c:pt idx="20">
                  <c:v>609527.54467876023</c:v>
                </c:pt>
                <c:pt idx="21">
                  <c:v>565479.58607160021</c:v>
                </c:pt>
                <c:pt idx="22">
                  <c:v>1005103.8426446677</c:v>
                </c:pt>
                <c:pt idx="23">
                  <c:v>956652.08323854837</c:v>
                </c:pt>
                <c:pt idx="24">
                  <c:v>908200.32383242901</c:v>
                </c:pt>
              </c:numCache>
            </c:numRef>
          </c:val>
          <c:smooth val="0"/>
          <c:extLst>
            <c:ext xmlns:c16="http://schemas.microsoft.com/office/drawing/2014/chart" uri="{C3380CC4-5D6E-409C-BE32-E72D297353CC}">
              <c16:uniqueId val="{00000000-4B84-4DEF-97D1-9BCB34D7D3B2}"/>
            </c:ext>
          </c:extLst>
        </c:ser>
        <c:dLbls>
          <c:showLegendKey val="0"/>
          <c:showVal val="0"/>
          <c:showCatName val="0"/>
          <c:showSerName val="0"/>
          <c:showPercent val="0"/>
          <c:showBubbleSize val="0"/>
        </c:dLbls>
        <c:smooth val="0"/>
        <c:axId val="443528312"/>
        <c:axId val="443528704"/>
      </c:lineChart>
      <c:catAx>
        <c:axId val="443528312"/>
        <c:scaling>
          <c:orientation val="minMax"/>
        </c:scaling>
        <c:delete val="0"/>
        <c:axPos val="b"/>
        <c:title>
          <c:tx>
            <c:rich>
              <a:bodyPr/>
              <a:lstStyle/>
              <a:p>
                <a:pPr>
                  <a:defRPr sz="1000"/>
                </a:pPr>
                <a:r>
                  <a:rPr lang="de-DE" sz="1000"/>
                  <a:t>Jahr</a:t>
                </a:r>
              </a:p>
            </c:rich>
          </c:tx>
          <c:layout>
            <c:manualLayout>
              <c:xMode val="edge"/>
              <c:yMode val="edge"/>
              <c:x val="0.53058726390398103"/>
              <c:y val="0.86444584426946602"/>
            </c:manualLayout>
          </c:layout>
          <c:overlay val="0"/>
          <c:spPr>
            <a:noFill/>
            <a:ln w="25400">
              <a:noFill/>
            </a:ln>
          </c:spPr>
        </c:title>
        <c:numFmt formatCode="0" sourceLinked="1"/>
        <c:majorTickMark val="none"/>
        <c:minorTickMark val="none"/>
        <c:tickLblPos val="low"/>
        <c:spPr>
          <a:ln w="3175">
            <a:solidFill>
              <a:srgbClr val="000000"/>
            </a:solidFill>
            <a:prstDash val="solid"/>
          </a:ln>
        </c:spPr>
        <c:txPr>
          <a:bodyPr rot="0" vert="horz"/>
          <a:lstStyle/>
          <a:p>
            <a:pPr>
              <a:defRPr sz="1000"/>
            </a:pPr>
            <a:endParaRPr lang="de-DE"/>
          </a:p>
        </c:txPr>
        <c:crossAx val="443528704"/>
        <c:crosses val="autoZero"/>
        <c:auto val="1"/>
        <c:lblAlgn val="ctr"/>
        <c:lblOffset val="100"/>
        <c:tickLblSkip val="1"/>
        <c:tickMarkSkip val="1"/>
        <c:noMultiLvlLbl val="0"/>
      </c:catAx>
      <c:valAx>
        <c:axId val="443528704"/>
        <c:scaling>
          <c:orientation val="minMax"/>
        </c:scaling>
        <c:delete val="0"/>
        <c:axPos val="l"/>
        <c:majorGridlines>
          <c:spPr>
            <a:ln w="3175">
              <a:solidFill>
                <a:srgbClr val="000000"/>
              </a:solidFill>
              <a:prstDash val="solid"/>
            </a:ln>
          </c:spPr>
        </c:majorGridlines>
        <c:title>
          <c:tx>
            <c:rich>
              <a:bodyPr/>
              <a:lstStyle/>
              <a:p>
                <a:pPr>
                  <a:defRPr sz="1000"/>
                </a:pPr>
                <a:r>
                  <a:rPr lang="de-DE" sz="1000"/>
                  <a:t>Betrag [CHF]</a:t>
                </a:r>
              </a:p>
            </c:rich>
          </c:tx>
          <c:layout>
            <c:manualLayout>
              <c:xMode val="edge"/>
              <c:yMode val="edge"/>
              <c:x val="1.953125E-2"/>
              <c:y val="0.3883340332458439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a:pPr>
            <a:endParaRPr lang="de-DE"/>
          </a:p>
        </c:txPr>
        <c:crossAx val="443528312"/>
        <c:crosses val="autoZero"/>
        <c:crossBetween val="between"/>
      </c:valAx>
      <c:spPr>
        <a:noFill/>
        <a:ln w="12700">
          <a:solidFill>
            <a:schemeClr val="tx1"/>
          </a:solidFill>
          <a:prstDash val="solid"/>
        </a:ln>
      </c:spPr>
    </c:plotArea>
    <c:legend>
      <c:legendPos val="b"/>
      <c:layout>
        <c:manualLayout>
          <c:xMode val="edge"/>
          <c:yMode val="edge"/>
          <c:x val="0"/>
          <c:y val="0.94500158666872802"/>
          <c:w val="0.89999995431214885"/>
          <c:h val="5.499841333127202E-2"/>
        </c:manualLayout>
      </c:layout>
      <c:overlay val="0"/>
      <c:spPr>
        <a:solidFill>
          <a:srgbClr val="FFFFFF"/>
        </a:solidFill>
        <a:ln w="3175">
          <a:noFill/>
          <a:prstDash val="solid"/>
        </a:ln>
      </c:spPr>
      <c:txPr>
        <a:bodyPr/>
        <a:lstStyle/>
        <a:p>
          <a:pPr>
            <a:defRPr sz="1000"/>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475" b="0" i="0" u="none" strike="noStrike" baseline="0">
          <a:solidFill>
            <a:srgbClr val="000000"/>
          </a:solidFill>
          <a:latin typeface="+mn-lt"/>
          <a:ea typeface="Arial"/>
          <a:cs typeface="Arial"/>
        </a:defRPr>
      </a:pPr>
      <a:endParaRPr lang="de-DE"/>
    </a:p>
  </c:txPr>
  <c:printSettings>
    <c:headerFooter alignWithMargins="0"/>
    <c:pageMargins b="0.984251969" l="0.78740157499999996" r="0.78740157499999996" t="0.984251969" header="0.4921259845" footer="0.492125984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de-DE" sz="1800" b="1" i="0" baseline="0">
                <a:effectLst/>
              </a:rPr>
              <a:t>État du crédit / Évolution de la valeur résiduelle</a:t>
            </a:r>
            <a:endParaRPr lang="de-CH" sz="1400">
              <a:effectLst/>
            </a:endParaRPr>
          </a:p>
        </c:rich>
      </c:tx>
      <c:layout>
        <c:manualLayout>
          <c:xMode val="edge"/>
          <c:yMode val="edge"/>
          <c:x val="0.34179708005249299"/>
          <c:y val="2.8333333333333301E-2"/>
        </c:manualLayout>
      </c:layout>
      <c:overlay val="0"/>
      <c:spPr>
        <a:noFill/>
        <a:ln w="25400">
          <a:noFill/>
        </a:ln>
      </c:spPr>
    </c:title>
    <c:autoTitleDeleted val="0"/>
    <c:plotArea>
      <c:layout>
        <c:manualLayout>
          <c:layoutTarget val="inner"/>
          <c:xMode val="edge"/>
          <c:yMode val="edge"/>
          <c:x val="0.11820819217112327"/>
          <c:y val="0.12414660354729856"/>
          <c:w val="0.8546034466382787"/>
          <c:h val="0.72164912695634031"/>
        </c:manualLayout>
      </c:layout>
      <c:areaChart>
        <c:grouping val="standard"/>
        <c:varyColors val="0"/>
        <c:ser>
          <c:idx val="0"/>
          <c:order val="0"/>
          <c:tx>
            <c:strRef>
              <c:f>B1_Calculs!$AE$33</c:f>
              <c:strCache>
                <c:ptCount val="1"/>
                <c:pt idx="0">
                  <c:v>Solde du crédit</c:v>
                </c:pt>
              </c:strCache>
            </c:strRef>
          </c:tx>
          <c:spPr>
            <a:solidFill>
              <a:schemeClr val="accent1">
                <a:lumMod val="60000"/>
                <a:lumOff val="40000"/>
              </a:schemeClr>
            </a:solidFill>
            <a:ln w="12700">
              <a:solidFill>
                <a:schemeClr val="accent1"/>
              </a:solidFill>
              <a:prstDash val="solid"/>
            </a:ln>
          </c:spP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B1_Calculs!$AE$36:$AE$60</c:f>
              <c:numCache>
                <c:formatCode>#,##0</c:formatCode>
                <c:ptCount val="25"/>
                <c:pt idx="0">
                  <c:v>-1000000</c:v>
                </c:pt>
                <c:pt idx="1">
                  <c:v>-933333.33333333337</c:v>
                </c:pt>
                <c:pt idx="2">
                  <c:v>-866666.66666666663</c:v>
                </c:pt>
                <c:pt idx="3">
                  <c:v>-800000</c:v>
                </c:pt>
                <c:pt idx="4">
                  <c:v>-733333.33333333326</c:v>
                </c:pt>
                <c:pt idx="5">
                  <c:v>-666666.66666666663</c:v>
                </c:pt>
                <c:pt idx="6">
                  <c:v>-600000</c:v>
                </c:pt>
                <c:pt idx="7">
                  <c:v>-533333.33333333326</c:v>
                </c:pt>
                <c:pt idx="8">
                  <c:v>-586666.66666666663</c:v>
                </c:pt>
                <c:pt idx="9">
                  <c:v>-496000</c:v>
                </c:pt>
                <c:pt idx="10">
                  <c:v>-405333.33333333326</c:v>
                </c:pt>
                <c:pt idx="11">
                  <c:v>-314666.66666666663</c:v>
                </c:pt>
                <c:pt idx="12">
                  <c:v>-224000</c:v>
                </c:pt>
                <c:pt idx="13">
                  <c:v>-133333.33333333326</c:v>
                </c:pt>
                <c:pt idx="14">
                  <c:v>-66666.666666666628</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398E-4E97-8B6C-8D1801B22DF1}"/>
            </c:ext>
          </c:extLst>
        </c:ser>
        <c:ser>
          <c:idx val="5"/>
          <c:order val="1"/>
          <c:tx>
            <c:strRef>
              <c:f>B1_Calculs!$AF$33</c:f>
              <c:strCache>
                <c:ptCount val="1"/>
                <c:pt idx="0">
                  <c:v>Valeur résiduelle des installations</c:v>
                </c:pt>
              </c:strCache>
            </c:strRef>
          </c:tx>
          <c:spPr>
            <a:solidFill>
              <a:schemeClr val="accent6">
                <a:lumMod val="40000"/>
                <a:lumOff val="60000"/>
              </a:schemeClr>
            </a:solidFill>
            <a:ln w="12700">
              <a:solidFill>
                <a:schemeClr val="accent6"/>
              </a:solidFill>
            </a:ln>
          </c:spP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B1_Calculs!$AF$36:$AF$60</c:f>
              <c:numCache>
                <c:formatCode>#,##0</c:formatCode>
                <c:ptCount val="25"/>
                <c:pt idx="0">
                  <c:v>284000</c:v>
                </c:pt>
                <c:pt idx="1">
                  <c:v>710000</c:v>
                </c:pt>
                <c:pt idx="2">
                  <c:v>1376166.6666666667</c:v>
                </c:pt>
                <c:pt idx="3">
                  <c:v>1332333.3333333335</c:v>
                </c:pt>
                <c:pt idx="4">
                  <c:v>1288500.0000000002</c:v>
                </c:pt>
                <c:pt idx="5">
                  <c:v>1244666.666666667</c:v>
                </c:pt>
                <c:pt idx="6">
                  <c:v>1200833.3333333337</c:v>
                </c:pt>
                <c:pt idx="7">
                  <c:v>1157000.0000000005</c:v>
                </c:pt>
                <c:pt idx="8">
                  <c:v>1113166.6666666672</c:v>
                </c:pt>
                <c:pt idx="9">
                  <c:v>1069333.333333334</c:v>
                </c:pt>
                <c:pt idx="10">
                  <c:v>1025500.0000000006</c:v>
                </c:pt>
                <c:pt idx="11">
                  <c:v>981666.66666666721</c:v>
                </c:pt>
                <c:pt idx="12">
                  <c:v>937833.33333333384</c:v>
                </c:pt>
                <c:pt idx="13">
                  <c:v>894000.00000000047</c:v>
                </c:pt>
                <c:pt idx="14">
                  <c:v>850166.66666666709</c:v>
                </c:pt>
                <c:pt idx="15">
                  <c:v>806333.33333333372</c:v>
                </c:pt>
                <c:pt idx="16">
                  <c:v>762500.00000000035</c:v>
                </c:pt>
                <c:pt idx="17">
                  <c:v>741671.42050024029</c:v>
                </c:pt>
                <c:pt idx="18">
                  <c:v>697623.46189308027</c:v>
                </c:pt>
                <c:pt idx="19">
                  <c:v>653575.50328592025</c:v>
                </c:pt>
                <c:pt idx="20">
                  <c:v>609527.54467876023</c:v>
                </c:pt>
                <c:pt idx="21">
                  <c:v>565479.58607160021</c:v>
                </c:pt>
                <c:pt idx="22">
                  <c:v>1005103.8426446677</c:v>
                </c:pt>
                <c:pt idx="23">
                  <c:v>956652.08323854837</c:v>
                </c:pt>
                <c:pt idx="24">
                  <c:v>908200.32383242901</c:v>
                </c:pt>
              </c:numCache>
            </c:numRef>
          </c:val>
          <c:extLst>
            <c:ext xmlns:c16="http://schemas.microsoft.com/office/drawing/2014/chart" uri="{C3380CC4-5D6E-409C-BE32-E72D297353CC}">
              <c16:uniqueId val="{00000005-398E-4E97-8B6C-8D1801B22DF1}"/>
            </c:ext>
          </c:extLst>
        </c:ser>
        <c:dLbls>
          <c:showLegendKey val="0"/>
          <c:showVal val="0"/>
          <c:showCatName val="0"/>
          <c:showSerName val="0"/>
          <c:showPercent val="0"/>
          <c:showBubbleSize val="0"/>
        </c:dLbls>
        <c:axId val="363559576"/>
        <c:axId val="363561144"/>
      </c:areaChart>
      <c:lineChart>
        <c:grouping val="standard"/>
        <c:varyColors val="0"/>
        <c:ser>
          <c:idx val="2"/>
          <c:order val="3"/>
          <c:tx>
            <c:strRef>
              <c:f>B1_Calculs!$AB$33</c:f>
              <c:strCache>
                <c:ptCount val="1"/>
                <c:pt idx="0">
                  <c:v>Cash-flow cumulé</c:v>
                </c:pt>
              </c:strCache>
            </c:strRef>
          </c:tx>
          <c:spPr>
            <a:ln>
              <a:solidFill>
                <a:schemeClr val="accent2"/>
              </a:solidFill>
            </a:ln>
          </c:spPr>
          <c:marker>
            <c:symbol val="none"/>
          </c:marke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B1_Calculs!$AB$36:$AB$60</c:f>
              <c:numCache>
                <c:formatCode>#,##0</c:formatCode>
                <c:ptCount val="25"/>
                <c:pt idx="0">
                  <c:v>630600</c:v>
                </c:pt>
                <c:pt idx="1">
                  <c:v>32526</c:v>
                </c:pt>
                <c:pt idx="2">
                  <c:v>-684972.44168055546</c:v>
                </c:pt>
                <c:pt idx="3">
                  <c:v>-194817.23969943373</c:v>
                </c:pt>
                <c:pt idx="4">
                  <c:v>-137617.29147103115</c:v>
                </c:pt>
                <c:pt idx="5">
                  <c:v>-122618.60574049187</c:v>
                </c:pt>
                <c:pt idx="6">
                  <c:v>-105571.97788984649</c:v>
                </c:pt>
                <c:pt idx="7">
                  <c:v>-86473.544960086743</c:v>
                </c:pt>
                <c:pt idx="8">
                  <c:v>49880.594632364999</c:v>
                </c:pt>
                <c:pt idx="9">
                  <c:v>45254.381481902325</c:v>
                </c:pt>
                <c:pt idx="10">
                  <c:v>43651.795583843355</c:v>
                </c:pt>
                <c:pt idx="11">
                  <c:v>45076.856728440325</c:v>
                </c:pt>
                <c:pt idx="12">
                  <c:v>49533.624898829716</c:v>
                </c:pt>
                <c:pt idx="13">
                  <c:v>57026.200672961248</c:v>
                </c:pt>
                <c:pt idx="14">
                  <c:v>90598.725629546927</c:v>
                </c:pt>
                <c:pt idx="15">
                  <c:v>126255.38275806874</c:v>
                </c:pt>
                <c:pt idx="16">
                  <c:v>229000.39687288716</c:v>
                </c:pt>
                <c:pt idx="17">
                  <c:v>308951.98925742367</c:v>
                </c:pt>
                <c:pt idx="18">
                  <c:v>412553.22784952581</c:v>
                </c:pt>
                <c:pt idx="19">
                  <c:v>506589.08635705675</c:v>
                </c:pt>
                <c:pt idx="20">
                  <c:v>601063.96111841779</c:v>
                </c:pt>
                <c:pt idx="21">
                  <c:v>695982.29243038048</c:v>
                </c:pt>
                <c:pt idx="22">
                  <c:v>303272.54900848353</c:v>
                </c:pt>
                <c:pt idx="23">
                  <c:v>399091.29234776075</c:v>
                </c:pt>
                <c:pt idx="24">
                  <c:v>495367.08129603951</c:v>
                </c:pt>
              </c:numCache>
            </c:numRef>
          </c:val>
          <c:smooth val="0"/>
          <c:extLst>
            <c:ext xmlns:c16="http://schemas.microsoft.com/office/drawing/2014/chart" uri="{C3380CC4-5D6E-409C-BE32-E72D297353CC}">
              <c16:uniqueId val="{00000001-9329-4FF6-9123-398DE74F45F2}"/>
            </c:ext>
          </c:extLst>
        </c:ser>
        <c:dLbls>
          <c:showLegendKey val="0"/>
          <c:showVal val="0"/>
          <c:showCatName val="0"/>
          <c:showSerName val="0"/>
          <c:showPercent val="0"/>
          <c:showBubbleSize val="0"/>
        </c:dLbls>
        <c:marker val="1"/>
        <c:smooth val="0"/>
        <c:axId val="363559576"/>
        <c:axId val="363561144"/>
        <c:extLst>
          <c:ext xmlns:c15="http://schemas.microsoft.com/office/drawing/2012/chart" uri="{02D57815-91ED-43cb-92C2-25804820EDAC}">
            <c15:filteredLineSeries>
              <c15:ser>
                <c:idx val="1"/>
                <c:order val="2"/>
                <c:tx>
                  <c:strRef>
                    <c:extLst>
                      <c:ext uri="{02D57815-91ED-43cb-92C2-25804820EDAC}">
                        <c15:formulaRef>
                          <c15:sqref>B1_Calculs!$AA$33</c15:sqref>
                        </c15:formulaRef>
                      </c:ext>
                    </c:extLst>
                    <c:strCache>
                      <c:ptCount val="1"/>
                      <c:pt idx="0">
                        <c:v>Cash-flow</c:v>
                      </c:pt>
                    </c:strCache>
                  </c:strRef>
                </c:tx>
                <c:spPr>
                  <a:ln>
                    <a:solidFill>
                      <a:schemeClr val="accent2"/>
                    </a:solidFill>
                  </a:ln>
                </c:spPr>
                <c:marker>
                  <c:symbol val="none"/>
                </c:marker>
                <c:cat>
                  <c:numRef>
                    <c:extLst>
                      <c:ext uri="{02D57815-91ED-43cb-92C2-25804820EDAC}">
                        <c15:formulaRef>
                          <c15:sqref>B1_Calculs!$B$36:$B$60</c15:sqref>
                        </c15:formulaRef>
                      </c:ext>
                    </c:extLst>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extLst>
                      <c:ext uri="{02D57815-91ED-43cb-92C2-25804820EDAC}">
                        <c15:formulaRef>
                          <c15:sqref>B1_Calculs!$AA$36:$AA$60</c15:sqref>
                        </c15:formulaRef>
                      </c:ext>
                    </c:extLst>
                    <c:numCache>
                      <c:formatCode>#,##0</c:formatCode>
                      <c:ptCount val="25"/>
                      <c:pt idx="0">
                        <c:v>630600</c:v>
                      </c:pt>
                      <c:pt idx="1">
                        <c:v>-598074</c:v>
                      </c:pt>
                      <c:pt idx="2">
                        <c:v>-717498.44168055546</c:v>
                      </c:pt>
                      <c:pt idx="3">
                        <c:v>490155.20198112173</c:v>
                      </c:pt>
                      <c:pt idx="4">
                        <c:v>57199.948228402602</c:v>
                      </c:pt>
                      <c:pt idx="5">
                        <c:v>14998.685730539277</c:v>
                      </c:pt>
                      <c:pt idx="6">
                        <c:v>17046.627850645382</c:v>
                      </c:pt>
                      <c:pt idx="7">
                        <c:v>19098.432929759743</c:v>
                      </c:pt>
                      <c:pt idx="8">
                        <c:v>136354.13959245174</c:v>
                      </c:pt>
                      <c:pt idx="9">
                        <c:v>-4626.2131504626741</c:v>
                      </c:pt>
                      <c:pt idx="10">
                        <c:v>-1602.5858980589692</c:v>
                      </c:pt>
                      <c:pt idx="11">
                        <c:v>1425.0611445969698</c:v>
                      </c:pt>
                      <c:pt idx="12">
                        <c:v>4456.7681703893904</c:v>
                      </c:pt>
                      <c:pt idx="13">
                        <c:v>7492.5757741315319</c:v>
                      </c:pt>
                      <c:pt idx="14">
                        <c:v>33572.524956585679</c:v>
                      </c:pt>
                      <c:pt idx="15">
                        <c:v>35656.657128521809</c:v>
                      </c:pt>
                      <c:pt idx="16">
                        <c:v>102745.01411481842</c:v>
                      </c:pt>
                      <c:pt idx="17">
                        <c:v>79951.592384536518</c:v>
                      </c:pt>
                      <c:pt idx="18">
                        <c:v>103601.23859210213</c:v>
                      </c:pt>
                      <c:pt idx="19">
                        <c:v>94035.858507530967</c:v>
                      </c:pt>
                      <c:pt idx="20">
                        <c:v>94474.874761361076</c:v>
                      </c:pt>
                      <c:pt idx="21">
                        <c:v>94918.331311962713</c:v>
                      </c:pt>
                      <c:pt idx="22">
                        <c:v>-392709.74342189694</c:v>
                      </c:pt>
                      <c:pt idx="23">
                        <c:v>95818.743339277222</c:v>
                      </c:pt>
                      <c:pt idx="24">
                        <c:v>96275.788948278787</c:v>
                      </c:pt>
                    </c:numCache>
                  </c:numRef>
                </c:val>
                <c:smooth val="0"/>
                <c:extLst>
                  <c:ext xmlns:c16="http://schemas.microsoft.com/office/drawing/2014/chart" uri="{C3380CC4-5D6E-409C-BE32-E72D297353CC}">
                    <c16:uniqueId val="{00000000-9329-4FF6-9123-398DE74F45F2}"/>
                  </c:ext>
                </c:extLst>
              </c15:ser>
            </c15:filteredLineSeries>
          </c:ext>
        </c:extLst>
      </c:lineChart>
      <c:catAx>
        <c:axId val="363559576"/>
        <c:scaling>
          <c:orientation val="minMax"/>
        </c:scaling>
        <c:delete val="0"/>
        <c:axPos val="b"/>
        <c:numFmt formatCode="0" sourceLinked="1"/>
        <c:majorTickMark val="none"/>
        <c:minorTickMark val="none"/>
        <c:tickLblPos val="low"/>
        <c:spPr>
          <a:ln w="3175">
            <a:solidFill>
              <a:srgbClr val="000000"/>
            </a:solidFill>
            <a:prstDash val="solid"/>
          </a:ln>
        </c:spPr>
        <c:txPr>
          <a:bodyPr rot="-2400000" vert="horz"/>
          <a:lstStyle/>
          <a:p>
            <a:pPr>
              <a:defRPr sz="1000"/>
            </a:pPr>
            <a:endParaRPr lang="de-DE"/>
          </a:p>
        </c:txPr>
        <c:crossAx val="363561144"/>
        <c:crosses val="autoZero"/>
        <c:auto val="1"/>
        <c:lblAlgn val="ctr"/>
        <c:lblOffset val="100"/>
        <c:noMultiLvlLbl val="0"/>
      </c:catAx>
      <c:valAx>
        <c:axId val="363561144"/>
        <c:scaling>
          <c:orientation val="minMax"/>
        </c:scaling>
        <c:delete val="0"/>
        <c:axPos val="l"/>
        <c:majorGridlines>
          <c:spPr>
            <a:ln w="3175">
              <a:solidFill>
                <a:srgbClr val="000000"/>
              </a:solidFill>
              <a:prstDash val="solid"/>
            </a:ln>
          </c:spPr>
        </c:majorGridlines>
        <c:title>
          <c:tx>
            <c:rich>
              <a:bodyPr/>
              <a:lstStyle/>
              <a:p>
                <a:pPr>
                  <a:defRPr sz="1000"/>
                </a:pPr>
                <a:r>
                  <a:rPr lang="de-DE" sz="1000"/>
                  <a:t>Montant</a:t>
                </a:r>
                <a:r>
                  <a:rPr lang="de-DE" sz="1000" baseline="0"/>
                  <a:t> </a:t>
                </a:r>
                <a:r>
                  <a:rPr lang="de-DE" sz="1000"/>
                  <a:t> [CHF]</a:t>
                </a:r>
              </a:p>
            </c:rich>
          </c:tx>
          <c:layout>
            <c:manualLayout>
              <c:xMode val="edge"/>
              <c:yMode val="edge"/>
              <c:x val="1.953125E-2"/>
              <c:y val="0.3883340332458439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a:pPr>
            <a:endParaRPr lang="de-DE"/>
          </a:p>
        </c:txPr>
        <c:crossAx val="363559576"/>
        <c:crosses val="autoZero"/>
        <c:crossBetween val="between"/>
      </c:valAx>
      <c:spPr>
        <a:noFill/>
        <a:ln w="12700">
          <a:solidFill>
            <a:schemeClr val="tx1"/>
          </a:solidFill>
          <a:prstDash val="solid"/>
        </a:ln>
      </c:spPr>
    </c:plotArea>
    <c:legend>
      <c:legendPos val="b"/>
      <c:layout>
        <c:manualLayout>
          <c:xMode val="edge"/>
          <c:yMode val="edge"/>
          <c:x val="3.125E-2"/>
          <c:y val="0.94500157480314995"/>
          <c:w val="0.56747095959595961"/>
          <c:h val="5.4998499967390597E-2"/>
        </c:manualLayout>
      </c:layout>
      <c:overlay val="0"/>
      <c:spPr>
        <a:solidFill>
          <a:srgbClr val="FFFFFF"/>
        </a:solidFill>
        <a:ln w="3175">
          <a:noFill/>
          <a:prstDash val="solid"/>
        </a:ln>
      </c:spPr>
      <c:txPr>
        <a:bodyPr/>
        <a:lstStyle/>
        <a:p>
          <a:pPr>
            <a:defRPr sz="1000"/>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475" b="0" i="0" u="none" strike="noStrike" baseline="0">
          <a:solidFill>
            <a:srgbClr val="000000"/>
          </a:solidFill>
          <a:latin typeface="+mn-lt"/>
          <a:ea typeface="Arial"/>
          <a:cs typeface="Arial"/>
        </a:defRPr>
      </a:pPr>
      <a:endParaRPr lang="de-DE"/>
    </a:p>
  </c:txPr>
  <c:printSettings>
    <c:headerFooter alignWithMargins="0"/>
    <c:pageMargins b="0.984251969" l="0.78740157499999996" r="0.78740157499999996" t="0.984251969" header="0.4921259845" footer="0.492125984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de-DE" sz="1800" b="1" i="0" baseline="0">
                <a:effectLst/>
              </a:rPr>
              <a:t>Évolution économique</a:t>
            </a:r>
            <a:endParaRPr lang="de-CH" sz="1400">
              <a:effectLst/>
            </a:endParaRPr>
          </a:p>
        </c:rich>
      </c:tx>
      <c:layout>
        <c:manualLayout>
          <c:xMode val="edge"/>
          <c:yMode val="edge"/>
          <c:x val="0.34179708005249299"/>
          <c:y val="2.8333333333333301E-2"/>
        </c:manualLayout>
      </c:layout>
      <c:overlay val="0"/>
      <c:spPr>
        <a:noFill/>
        <a:ln w="25400">
          <a:noFill/>
        </a:ln>
      </c:spPr>
    </c:title>
    <c:autoTitleDeleted val="0"/>
    <c:plotArea>
      <c:layout>
        <c:manualLayout>
          <c:layoutTarget val="inner"/>
          <c:xMode val="edge"/>
          <c:yMode val="edge"/>
          <c:x val="0.12510610337602029"/>
          <c:y val="0.12414665701104162"/>
          <c:w val="0.8459087291851064"/>
          <c:h val="0.72164912695634031"/>
        </c:manualLayout>
      </c:layout>
      <c:barChart>
        <c:barDir val="col"/>
        <c:grouping val="clustered"/>
        <c:varyColors val="0"/>
        <c:ser>
          <c:idx val="1"/>
          <c:order val="0"/>
          <c:tx>
            <c:strRef>
              <c:f>B1_Calculs!$E$31</c:f>
              <c:strCache>
                <c:ptCount val="1"/>
                <c:pt idx="0">
                  <c:v>Dépenses</c:v>
                </c:pt>
              </c:strCache>
            </c:strRef>
          </c:tx>
          <c:spPr>
            <a:solidFill>
              <a:schemeClr val="accent1"/>
            </a:solidFill>
            <a:ln w="12700">
              <a:solidFill>
                <a:schemeClr val="accent1"/>
              </a:solidFill>
              <a:prstDash val="solid"/>
            </a:ln>
          </c:spPr>
          <c:invertIfNegative val="0"/>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B1_Calculs!$O$36:$O$60</c:f>
              <c:numCache>
                <c:formatCode>#,##0</c:formatCode>
                <c:ptCount val="25"/>
                <c:pt idx="0">
                  <c:v>42400</c:v>
                </c:pt>
                <c:pt idx="1">
                  <c:v>40907.333333333336</c:v>
                </c:pt>
                <c:pt idx="2">
                  <c:v>135165.74597222221</c:v>
                </c:pt>
                <c:pt idx="3">
                  <c:v>188406.64088045835</c:v>
                </c:pt>
                <c:pt idx="4">
                  <c:v>257051.65294678809</c:v>
                </c:pt>
                <c:pt idx="5">
                  <c:v>260024.0149463625</c:v>
                </c:pt>
                <c:pt idx="6">
                  <c:v>258966.87732750765</c:v>
                </c:pt>
                <c:pt idx="7">
                  <c:v>257915.97357024092</c:v>
                </c:pt>
                <c:pt idx="8">
                  <c:v>261671.36599932137</c:v>
                </c:pt>
                <c:pt idx="9">
                  <c:v>259673.11756275664</c:v>
                </c:pt>
                <c:pt idx="10">
                  <c:v>257681.29183803586</c:v>
                </c:pt>
                <c:pt idx="11">
                  <c:v>255695.95303842457</c:v>
                </c:pt>
                <c:pt idx="12">
                  <c:v>253717.16601932229</c:v>
                </c:pt>
                <c:pt idx="13">
                  <c:v>251744.99628468402</c:v>
                </c:pt>
                <c:pt idx="14">
                  <c:v>250739.50999350546</c:v>
                </c:pt>
                <c:pt idx="15">
                  <c:v>249740.77396637382</c:v>
                </c:pt>
                <c:pt idx="16">
                  <c:v>250415.52235875031</c:v>
                </c:pt>
                <c:pt idx="17">
                  <c:v>251311.78194147858</c:v>
                </c:pt>
                <c:pt idx="18">
                  <c:v>252000.37101222735</c:v>
                </c:pt>
                <c:pt idx="19">
                  <c:v>252695.98437859979</c:v>
                </c:pt>
                <c:pt idx="20">
                  <c:v>253398.69226971181</c:v>
                </c:pt>
                <c:pt idx="21">
                  <c:v>254108.56561697152</c:v>
                </c:pt>
                <c:pt idx="22">
                  <c:v>259229.47686006228</c:v>
                </c:pt>
                <c:pt idx="23">
                  <c:v>259953.89675819743</c:v>
                </c:pt>
                <c:pt idx="24">
                  <c:v>260685.6991910417</c:v>
                </c:pt>
              </c:numCache>
            </c:numRef>
          </c:val>
          <c:extLst>
            <c:ext xmlns:c16="http://schemas.microsoft.com/office/drawing/2014/chart" uri="{C3380CC4-5D6E-409C-BE32-E72D297353CC}">
              <c16:uniqueId val="{00000000-CF4C-4FD7-B65D-9760A1674003}"/>
            </c:ext>
          </c:extLst>
        </c:ser>
        <c:ser>
          <c:idx val="2"/>
          <c:order val="1"/>
          <c:tx>
            <c:strRef>
              <c:f>B1_Calculs!$P$31</c:f>
              <c:strCache>
                <c:ptCount val="1"/>
                <c:pt idx="0">
                  <c:v>Recettes</c:v>
                </c:pt>
              </c:strCache>
            </c:strRef>
          </c:tx>
          <c:spPr>
            <a:solidFill>
              <a:schemeClr val="accent6">
                <a:lumMod val="60000"/>
                <a:lumOff val="40000"/>
              </a:schemeClr>
            </a:solidFill>
            <a:ln w="12700">
              <a:solidFill>
                <a:schemeClr val="accent6"/>
              </a:solidFill>
              <a:prstDash val="solid"/>
            </a:ln>
          </c:spPr>
          <c:invertIfNegative val="0"/>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B1_Calculs!$U$36:$U$60</c:f>
              <c:numCache>
                <c:formatCode>#,##0</c:formatCode>
                <c:ptCount val="25"/>
                <c:pt idx="0">
                  <c:v>0</c:v>
                </c:pt>
                <c:pt idx="1">
                  <c:v>0</c:v>
                </c:pt>
                <c:pt idx="2">
                  <c:v>258000.637625</c:v>
                </c:pt>
                <c:pt idx="3">
                  <c:v>701395.17619491345</c:v>
                </c:pt>
                <c:pt idx="4">
                  <c:v>337084.93450852402</c:v>
                </c:pt>
                <c:pt idx="5">
                  <c:v>297856.0340102351</c:v>
                </c:pt>
                <c:pt idx="6">
                  <c:v>298846.83851148636</c:v>
                </c:pt>
                <c:pt idx="7">
                  <c:v>299847.739833334</c:v>
                </c:pt>
                <c:pt idx="8">
                  <c:v>300858.83892510645</c:v>
                </c:pt>
                <c:pt idx="9">
                  <c:v>301880.2377456273</c:v>
                </c:pt>
                <c:pt idx="10">
                  <c:v>302912.03927331022</c:v>
                </c:pt>
                <c:pt idx="11">
                  <c:v>303954.34751635487</c:v>
                </c:pt>
                <c:pt idx="12">
                  <c:v>305007.26752304501</c:v>
                </c:pt>
                <c:pt idx="13">
                  <c:v>306070.90539214888</c:v>
                </c:pt>
                <c:pt idx="14">
                  <c:v>307145.36828342447</c:v>
                </c:pt>
                <c:pt idx="15">
                  <c:v>308230.76442822895</c:v>
                </c:pt>
                <c:pt idx="16">
                  <c:v>309327.20314023539</c:v>
                </c:pt>
                <c:pt idx="17">
                  <c:v>310434.79482625506</c:v>
                </c:pt>
                <c:pt idx="18">
                  <c:v>311553.65099716949</c:v>
                </c:pt>
                <c:pt idx="19">
                  <c:v>302683.88427897077</c:v>
                </c:pt>
                <c:pt idx="20">
                  <c:v>303825.6084239129</c:v>
                </c:pt>
                <c:pt idx="21">
                  <c:v>304978.93832177424</c:v>
                </c:pt>
                <c:pt idx="22">
                  <c:v>306143.99001123285</c:v>
                </c:pt>
                <c:pt idx="23">
                  <c:v>307320.88069135533</c:v>
                </c:pt>
                <c:pt idx="24">
                  <c:v>308509.72873320116</c:v>
                </c:pt>
              </c:numCache>
            </c:numRef>
          </c:val>
          <c:extLst>
            <c:ext xmlns:c16="http://schemas.microsoft.com/office/drawing/2014/chart" uri="{C3380CC4-5D6E-409C-BE32-E72D297353CC}">
              <c16:uniqueId val="{00000001-CF4C-4FD7-B65D-9760A1674003}"/>
            </c:ext>
          </c:extLst>
        </c:ser>
        <c:dLbls>
          <c:showLegendKey val="0"/>
          <c:showVal val="0"/>
          <c:showCatName val="0"/>
          <c:showSerName val="0"/>
          <c:showPercent val="0"/>
          <c:showBubbleSize val="0"/>
        </c:dLbls>
        <c:gapWidth val="150"/>
        <c:axId val="363558008"/>
        <c:axId val="363558792"/>
      </c:barChart>
      <c:lineChart>
        <c:grouping val="standard"/>
        <c:varyColors val="0"/>
        <c:ser>
          <c:idx val="5"/>
          <c:order val="5"/>
          <c:tx>
            <c:strRef>
              <c:f>B1_Calculs!$W$33</c:f>
              <c:strCache>
                <c:ptCount val="1"/>
                <c:pt idx="0">
                  <c:v>Cumul excédent / déficit</c:v>
                </c:pt>
              </c:strCache>
            </c:strRef>
          </c:tx>
          <c:spPr>
            <a:ln>
              <a:solidFill>
                <a:schemeClr val="accent2"/>
              </a:solidFill>
            </a:ln>
          </c:spPr>
          <c:marker>
            <c:symbol val="none"/>
          </c:marke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B1_Calculs!$W$36:$W$60</c:f>
              <c:numCache>
                <c:formatCode>#,##0</c:formatCode>
                <c:ptCount val="25"/>
                <c:pt idx="0">
                  <c:v>-42400</c:v>
                </c:pt>
                <c:pt idx="1">
                  <c:v>-83307.333333333343</c:v>
                </c:pt>
                <c:pt idx="2">
                  <c:v>39527.558319444448</c:v>
                </c:pt>
                <c:pt idx="3">
                  <c:v>552516.09363389958</c:v>
                </c:pt>
                <c:pt idx="4">
                  <c:v>632549.37519563548</c:v>
                </c:pt>
                <c:pt idx="5">
                  <c:v>670381.39425950812</c:v>
                </c:pt>
                <c:pt idx="6">
                  <c:v>710261.35544348683</c:v>
                </c:pt>
                <c:pt idx="7">
                  <c:v>752193.12170657993</c:v>
                </c:pt>
                <c:pt idx="8">
                  <c:v>791380.59463236504</c:v>
                </c:pt>
                <c:pt idx="9">
                  <c:v>833587.7148152357</c:v>
                </c:pt>
                <c:pt idx="10">
                  <c:v>878818.46225051</c:v>
                </c:pt>
                <c:pt idx="11">
                  <c:v>927076.85672844027</c:v>
                </c:pt>
                <c:pt idx="12">
                  <c:v>978366.95823216299</c:v>
                </c:pt>
                <c:pt idx="13">
                  <c:v>1032692.8673396278</c:v>
                </c:pt>
                <c:pt idx="14">
                  <c:v>1089098.7256295469</c:v>
                </c:pt>
                <c:pt idx="15">
                  <c:v>1147588.7160914021</c:v>
                </c:pt>
                <c:pt idx="16">
                  <c:v>1206500.3968728872</c:v>
                </c:pt>
                <c:pt idx="17">
                  <c:v>1265623.4097576637</c:v>
                </c:pt>
                <c:pt idx="18">
                  <c:v>1325176.6897426059</c:v>
                </c:pt>
                <c:pt idx="19">
                  <c:v>1375164.5896429769</c:v>
                </c:pt>
                <c:pt idx="20">
                  <c:v>1425591.505797178</c:v>
                </c:pt>
                <c:pt idx="21">
                  <c:v>1476461.8785019808</c:v>
                </c:pt>
                <c:pt idx="22">
                  <c:v>1523376.3916531513</c:v>
                </c:pt>
                <c:pt idx="23">
                  <c:v>1570743.3755863092</c:v>
                </c:pt>
                <c:pt idx="24">
                  <c:v>1618567.4051284688</c:v>
                </c:pt>
              </c:numCache>
            </c:numRef>
          </c:val>
          <c:smooth val="0"/>
          <c:extLst>
            <c:ext xmlns:c16="http://schemas.microsoft.com/office/drawing/2014/chart" uri="{C3380CC4-5D6E-409C-BE32-E72D297353CC}">
              <c16:uniqueId val="{00000001-4B1D-4BB7-B876-2DD9D5FB3160}"/>
            </c:ext>
          </c:extLst>
        </c:ser>
        <c:dLbls>
          <c:showLegendKey val="0"/>
          <c:showVal val="0"/>
          <c:showCatName val="0"/>
          <c:showSerName val="0"/>
          <c:showPercent val="0"/>
          <c:showBubbleSize val="0"/>
        </c:dLbls>
        <c:marker val="1"/>
        <c:smooth val="0"/>
        <c:axId val="363558008"/>
        <c:axId val="363558792"/>
        <c:extLst>
          <c:ext xmlns:c15="http://schemas.microsoft.com/office/drawing/2012/chart" uri="{02D57815-91ED-43cb-92C2-25804820EDAC}">
            <c15:filteredLineSeries>
              <c15:ser>
                <c:idx val="3"/>
                <c:order val="2"/>
                <c:tx>
                  <c:strRef>
                    <c:extLst>
                      <c:ext uri="{02D57815-91ED-43cb-92C2-25804820EDAC}">
                        <c15:formulaRef>
                          <c15:sqref>B1_Calculs!$AA$33</c15:sqref>
                        </c15:formulaRef>
                      </c:ext>
                    </c:extLst>
                    <c:strCache>
                      <c:ptCount val="1"/>
                      <c:pt idx="0">
                        <c:v>Cash-flow</c:v>
                      </c:pt>
                    </c:strCache>
                  </c:strRef>
                </c:tx>
                <c:spPr>
                  <a:ln w="25400">
                    <a:solidFill>
                      <a:srgbClr val="00FFFF"/>
                    </a:solidFill>
                    <a:prstDash val="solid"/>
                  </a:ln>
                </c:spPr>
                <c:marker>
                  <c:symbol val="none"/>
                </c:marker>
                <c:cat>
                  <c:numRef>
                    <c:extLst>
                      <c:ext uri="{02D57815-91ED-43cb-92C2-25804820EDAC}">
                        <c15:formulaRef>
                          <c15:sqref>B1_Calculs!$B$36:$B$60</c15:sqref>
                        </c15:formulaRef>
                      </c:ext>
                    </c:extLst>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extLst>
                      <c:ext uri="{02D57815-91ED-43cb-92C2-25804820EDAC}">
                        <c15:formulaRef>
                          <c15:sqref>B1_Calculs!$AA$36:$AA$60</c15:sqref>
                        </c15:formulaRef>
                      </c:ext>
                    </c:extLst>
                    <c:numCache>
                      <c:formatCode>#,##0</c:formatCode>
                      <c:ptCount val="25"/>
                      <c:pt idx="0">
                        <c:v>630600</c:v>
                      </c:pt>
                      <c:pt idx="1">
                        <c:v>-598074</c:v>
                      </c:pt>
                      <c:pt idx="2">
                        <c:v>-717498.44168055546</c:v>
                      </c:pt>
                      <c:pt idx="3">
                        <c:v>490155.20198112173</c:v>
                      </c:pt>
                      <c:pt idx="4">
                        <c:v>57199.948228402602</c:v>
                      </c:pt>
                      <c:pt idx="5">
                        <c:v>14998.685730539277</c:v>
                      </c:pt>
                      <c:pt idx="6">
                        <c:v>17046.627850645382</c:v>
                      </c:pt>
                      <c:pt idx="7">
                        <c:v>19098.432929759743</c:v>
                      </c:pt>
                      <c:pt idx="8">
                        <c:v>136354.13959245174</c:v>
                      </c:pt>
                      <c:pt idx="9">
                        <c:v>-4626.2131504626741</c:v>
                      </c:pt>
                      <c:pt idx="10">
                        <c:v>-1602.5858980589692</c:v>
                      </c:pt>
                      <c:pt idx="11">
                        <c:v>1425.0611445969698</c:v>
                      </c:pt>
                      <c:pt idx="12">
                        <c:v>4456.7681703893904</c:v>
                      </c:pt>
                      <c:pt idx="13">
                        <c:v>7492.5757741315319</c:v>
                      </c:pt>
                      <c:pt idx="14">
                        <c:v>33572.524956585679</c:v>
                      </c:pt>
                      <c:pt idx="15">
                        <c:v>35656.657128521809</c:v>
                      </c:pt>
                      <c:pt idx="16">
                        <c:v>102745.01411481842</c:v>
                      </c:pt>
                      <c:pt idx="17">
                        <c:v>79951.592384536518</c:v>
                      </c:pt>
                      <c:pt idx="18">
                        <c:v>103601.23859210213</c:v>
                      </c:pt>
                      <c:pt idx="19">
                        <c:v>94035.858507530967</c:v>
                      </c:pt>
                      <c:pt idx="20">
                        <c:v>94474.874761361076</c:v>
                      </c:pt>
                      <c:pt idx="21">
                        <c:v>94918.331311962713</c:v>
                      </c:pt>
                      <c:pt idx="22">
                        <c:v>-392709.74342189694</c:v>
                      </c:pt>
                      <c:pt idx="23">
                        <c:v>95818.743339277222</c:v>
                      </c:pt>
                      <c:pt idx="24">
                        <c:v>96275.788948278787</c:v>
                      </c:pt>
                    </c:numCache>
                  </c:numRef>
                </c:val>
                <c:smooth val="0"/>
                <c:extLst>
                  <c:ext xmlns:c16="http://schemas.microsoft.com/office/drawing/2014/chart" uri="{C3380CC4-5D6E-409C-BE32-E72D297353CC}">
                    <c16:uniqueId val="{00000002-CF4C-4FD7-B65D-9760A1674003}"/>
                  </c:ext>
                </c:extLst>
              </c15:ser>
            </c15:filteredLineSeries>
            <c15:filteredLineSeries>
              <c15:ser>
                <c:idx val="4"/>
                <c:order val="3"/>
                <c:tx>
                  <c:strRef>
                    <c:extLst xmlns:c15="http://schemas.microsoft.com/office/drawing/2012/chart">
                      <c:ext xmlns:c15="http://schemas.microsoft.com/office/drawing/2012/chart" uri="{02D57815-91ED-43cb-92C2-25804820EDAC}">
                        <c15:formulaRef>
                          <c15:sqref>B1_Calculs!$AB$33</c15:sqref>
                        </c15:formulaRef>
                      </c:ext>
                    </c:extLst>
                    <c:strCache>
                      <c:ptCount val="1"/>
                      <c:pt idx="0">
                        <c:v>Cash-flow cumulé</c:v>
                      </c:pt>
                    </c:strCache>
                  </c:strRef>
                </c:tx>
                <c:spPr>
                  <a:ln w="25400">
                    <a:solidFill>
                      <a:srgbClr val="800080"/>
                    </a:solidFill>
                    <a:prstDash val="solid"/>
                  </a:ln>
                </c:spPr>
                <c:marker>
                  <c:symbol val="none"/>
                </c:marker>
                <c:cat>
                  <c:numRef>
                    <c:extLst xmlns:c15="http://schemas.microsoft.com/office/drawing/2012/chart">
                      <c:ext xmlns:c15="http://schemas.microsoft.com/office/drawing/2012/chart" uri="{02D57815-91ED-43cb-92C2-25804820EDAC}">
                        <c15:formulaRef>
                          <c15:sqref>B1_Calculs!$B$36:$B$60</c15:sqref>
                        </c15:formulaRef>
                      </c:ext>
                    </c:extLst>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extLst xmlns:c15="http://schemas.microsoft.com/office/drawing/2012/chart">
                      <c:ext xmlns:c15="http://schemas.microsoft.com/office/drawing/2012/chart" uri="{02D57815-91ED-43cb-92C2-25804820EDAC}">
                        <c15:formulaRef>
                          <c15:sqref>B1_Calculs!$AB$36:$AB$60</c15:sqref>
                        </c15:formulaRef>
                      </c:ext>
                    </c:extLst>
                    <c:numCache>
                      <c:formatCode>#,##0</c:formatCode>
                      <c:ptCount val="25"/>
                      <c:pt idx="0">
                        <c:v>630600</c:v>
                      </c:pt>
                      <c:pt idx="1">
                        <c:v>32526</c:v>
                      </c:pt>
                      <c:pt idx="2">
                        <c:v>-684972.44168055546</c:v>
                      </c:pt>
                      <c:pt idx="3">
                        <c:v>-194817.23969943373</c:v>
                      </c:pt>
                      <c:pt idx="4">
                        <c:v>-137617.29147103115</c:v>
                      </c:pt>
                      <c:pt idx="5">
                        <c:v>-122618.60574049187</c:v>
                      </c:pt>
                      <c:pt idx="6">
                        <c:v>-105571.97788984649</c:v>
                      </c:pt>
                      <c:pt idx="7">
                        <c:v>-86473.544960086743</c:v>
                      </c:pt>
                      <c:pt idx="8">
                        <c:v>49880.594632364999</c:v>
                      </c:pt>
                      <c:pt idx="9">
                        <c:v>45254.381481902325</c:v>
                      </c:pt>
                      <c:pt idx="10">
                        <c:v>43651.795583843355</c:v>
                      </c:pt>
                      <c:pt idx="11">
                        <c:v>45076.856728440325</c:v>
                      </c:pt>
                      <c:pt idx="12">
                        <c:v>49533.624898829716</c:v>
                      </c:pt>
                      <c:pt idx="13">
                        <c:v>57026.200672961248</c:v>
                      </c:pt>
                      <c:pt idx="14">
                        <c:v>90598.725629546927</c:v>
                      </c:pt>
                      <c:pt idx="15">
                        <c:v>126255.38275806874</c:v>
                      </c:pt>
                      <c:pt idx="16">
                        <c:v>229000.39687288716</c:v>
                      </c:pt>
                      <c:pt idx="17">
                        <c:v>308951.98925742367</c:v>
                      </c:pt>
                      <c:pt idx="18">
                        <c:v>412553.22784952581</c:v>
                      </c:pt>
                      <c:pt idx="19">
                        <c:v>506589.08635705675</c:v>
                      </c:pt>
                      <c:pt idx="20">
                        <c:v>601063.96111841779</c:v>
                      </c:pt>
                      <c:pt idx="21">
                        <c:v>695982.29243038048</c:v>
                      </c:pt>
                      <c:pt idx="22">
                        <c:v>303272.54900848353</c:v>
                      </c:pt>
                      <c:pt idx="23">
                        <c:v>399091.29234776075</c:v>
                      </c:pt>
                      <c:pt idx="24">
                        <c:v>495367.08129603951</c:v>
                      </c:pt>
                    </c:numCache>
                  </c:numRef>
                </c:val>
                <c:smooth val="0"/>
                <c:extLst xmlns:c15="http://schemas.microsoft.com/office/drawing/2012/chart">
                  <c:ext xmlns:c16="http://schemas.microsoft.com/office/drawing/2014/chart" uri="{C3380CC4-5D6E-409C-BE32-E72D297353CC}">
                    <c16:uniqueId val="{00000003-CF4C-4FD7-B65D-9760A1674003}"/>
                  </c:ext>
                </c:extLst>
              </c15:ser>
            </c15:filteredLineSeries>
            <c15:filteredLineSeries>
              <c15:ser>
                <c:idx val="0"/>
                <c:order val="4"/>
                <c:tx>
                  <c:strRef>
                    <c:extLst xmlns:c15="http://schemas.microsoft.com/office/drawing/2012/chart">
                      <c:ext xmlns:c15="http://schemas.microsoft.com/office/drawing/2012/chart" uri="{02D57815-91ED-43cb-92C2-25804820EDAC}">
                        <c15:formulaRef>
                          <c15:sqref>B1_Calculs!$V$33</c15:sqref>
                        </c15:formulaRef>
                      </c:ext>
                    </c:extLst>
                    <c:strCache>
                      <c:ptCount val="1"/>
                      <c:pt idx="0">
                        <c:v>Bénéfice/
perte annuelle</c:v>
                      </c:pt>
                    </c:strCache>
                  </c:strRef>
                </c:tx>
                <c:marker>
                  <c:symbol val="none"/>
                </c:marker>
                <c:cat>
                  <c:numRef>
                    <c:extLst xmlns:c15="http://schemas.microsoft.com/office/drawing/2012/chart">
                      <c:ext xmlns:c15="http://schemas.microsoft.com/office/drawing/2012/chart" uri="{02D57815-91ED-43cb-92C2-25804820EDAC}">
                        <c15:formulaRef>
                          <c15:sqref>B1_Calculs!$B$36:$B$60</c15:sqref>
                        </c15:formulaRef>
                      </c:ext>
                    </c:extLst>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extLst xmlns:c15="http://schemas.microsoft.com/office/drawing/2012/chart">
                      <c:ext xmlns:c15="http://schemas.microsoft.com/office/drawing/2012/chart" uri="{02D57815-91ED-43cb-92C2-25804820EDAC}">
                        <c15:formulaRef>
                          <c15:sqref>B1_Calculs!$V$36:$V$60</c15:sqref>
                        </c15:formulaRef>
                      </c:ext>
                    </c:extLst>
                    <c:numCache>
                      <c:formatCode>#,##0</c:formatCode>
                      <c:ptCount val="25"/>
                      <c:pt idx="0">
                        <c:v>-42400</c:v>
                      </c:pt>
                      <c:pt idx="1">
                        <c:v>-40907.333333333336</c:v>
                      </c:pt>
                      <c:pt idx="2">
                        <c:v>122834.89165277779</c:v>
                      </c:pt>
                      <c:pt idx="3">
                        <c:v>512988.5353144551</c:v>
                      </c:pt>
                      <c:pt idx="4">
                        <c:v>80033.28156173593</c:v>
                      </c:pt>
                      <c:pt idx="5">
                        <c:v>37832.019063872605</c:v>
                      </c:pt>
                      <c:pt idx="6">
                        <c:v>39879.96118397871</c:v>
                      </c:pt>
                      <c:pt idx="7">
                        <c:v>41931.766263093072</c:v>
                      </c:pt>
                      <c:pt idx="8">
                        <c:v>39187.472925785085</c:v>
                      </c:pt>
                      <c:pt idx="9">
                        <c:v>42207.120182870654</c:v>
                      </c:pt>
                      <c:pt idx="10">
                        <c:v>45230.747435274359</c:v>
                      </c:pt>
                      <c:pt idx="11">
                        <c:v>48258.394477930298</c:v>
                      </c:pt>
                      <c:pt idx="12">
                        <c:v>51290.101503722719</c:v>
                      </c:pt>
                      <c:pt idx="13">
                        <c:v>54325.90910746486</c:v>
                      </c:pt>
                      <c:pt idx="14">
                        <c:v>56405.858289919008</c:v>
                      </c:pt>
                      <c:pt idx="15">
                        <c:v>58489.990461855137</c:v>
                      </c:pt>
                      <c:pt idx="16">
                        <c:v>58911.680781485076</c:v>
                      </c:pt>
                      <c:pt idx="17">
                        <c:v>59123.012884776486</c:v>
                      </c:pt>
                      <c:pt idx="18">
                        <c:v>59553.279984942143</c:v>
                      </c:pt>
                      <c:pt idx="19">
                        <c:v>49987.899900370976</c:v>
                      </c:pt>
                      <c:pt idx="20">
                        <c:v>50426.916154201084</c:v>
                      </c:pt>
                      <c:pt idx="21">
                        <c:v>50870.372704802721</c:v>
                      </c:pt>
                      <c:pt idx="22">
                        <c:v>46914.513151170569</c:v>
                      </c:pt>
                      <c:pt idx="23">
                        <c:v>47366.983933157899</c:v>
                      </c:pt>
                      <c:pt idx="24">
                        <c:v>47824.029542159464</c:v>
                      </c:pt>
                    </c:numCache>
                  </c:numRef>
                </c:val>
                <c:smooth val="0"/>
                <c:extLst xmlns:c15="http://schemas.microsoft.com/office/drawing/2012/chart">
                  <c:ext xmlns:c16="http://schemas.microsoft.com/office/drawing/2014/chart" uri="{C3380CC4-5D6E-409C-BE32-E72D297353CC}">
                    <c16:uniqueId val="{00000000-4B1D-4BB7-B876-2DD9D5FB3160}"/>
                  </c:ext>
                </c:extLst>
              </c15:ser>
            </c15:filteredLineSeries>
          </c:ext>
        </c:extLst>
      </c:lineChart>
      <c:catAx>
        <c:axId val="363558008"/>
        <c:scaling>
          <c:orientation val="minMax"/>
        </c:scaling>
        <c:delete val="0"/>
        <c:axPos val="b"/>
        <c:numFmt formatCode="0" sourceLinked="1"/>
        <c:majorTickMark val="none"/>
        <c:minorTickMark val="none"/>
        <c:tickLblPos val="low"/>
        <c:spPr>
          <a:ln w="3175">
            <a:solidFill>
              <a:srgbClr val="000000"/>
            </a:solidFill>
            <a:prstDash val="solid"/>
          </a:ln>
        </c:spPr>
        <c:txPr>
          <a:bodyPr rot="-2400000" vert="horz"/>
          <a:lstStyle/>
          <a:p>
            <a:pPr>
              <a:defRPr sz="1000"/>
            </a:pPr>
            <a:endParaRPr lang="de-DE"/>
          </a:p>
        </c:txPr>
        <c:crossAx val="363558792"/>
        <c:crosses val="autoZero"/>
        <c:auto val="1"/>
        <c:lblAlgn val="ctr"/>
        <c:lblOffset val="100"/>
        <c:tickLblSkip val="1"/>
        <c:tickMarkSkip val="1"/>
        <c:noMultiLvlLbl val="0"/>
      </c:catAx>
      <c:valAx>
        <c:axId val="363558792"/>
        <c:scaling>
          <c:orientation val="minMax"/>
        </c:scaling>
        <c:delete val="0"/>
        <c:axPos val="l"/>
        <c:majorGridlines>
          <c:spPr>
            <a:ln w="3175">
              <a:solidFill>
                <a:srgbClr val="000000"/>
              </a:solidFill>
              <a:prstDash val="solid"/>
            </a:ln>
          </c:spPr>
        </c:majorGridlines>
        <c:title>
          <c:tx>
            <c:rich>
              <a:bodyPr/>
              <a:lstStyle/>
              <a:p>
                <a:pPr>
                  <a:defRPr sz="1000"/>
                </a:pPr>
                <a:r>
                  <a:rPr lang="de-DE" sz="1000"/>
                  <a:t>Montant [CHF]</a:t>
                </a:r>
              </a:p>
            </c:rich>
          </c:tx>
          <c:layout>
            <c:manualLayout>
              <c:xMode val="edge"/>
              <c:yMode val="edge"/>
              <c:x val="1.953125E-2"/>
              <c:y val="0.3883340332458439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a:pPr>
            <a:endParaRPr lang="de-DE"/>
          </a:p>
        </c:txPr>
        <c:crossAx val="363558008"/>
        <c:crosses val="autoZero"/>
        <c:crossBetween val="between"/>
      </c:valAx>
      <c:spPr>
        <a:noFill/>
        <a:ln w="12700">
          <a:solidFill>
            <a:schemeClr val="tx1"/>
          </a:solidFill>
          <a:prstDash val="solid"/>
        </a:ln>
      </c:spPr>
    </c:plotArea>
    <c:legend>
      <c:legendPos val="b"/>
      <c:layout>
        <c:manualLayout>
          <c:xMode val="edge"/>
          <c:yMode val="edge"/>
          <c:x val="3.125E-2"/>
          <c:y val="0.94500157480314995"/>
          <c:w val="0.48610404040404048"/>
          <c:h val="5.4998499967390597E-2"/>
        </c:manualLayout>
      </c:layout>
      <c:overlay val="0"/>
      <c:spPr>
        <a:solidFill>
          <a:srgbClr val="FFFFFF"/>
        </a:solidFill>
        <a:ln w="3175">
          <a:noFill/>
          <a:prstDash val="solid"/>
        </a:ln>
      </c:spPr>
      <c:txPr>
        <a:bodyPr/>
        <a:lstStyle/>
        <a:p>
          <a:pPr>
            <a:defRPr sz="1000"/>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475" b="0" i="0" u="none" strike="noStrike" baseline="0">
          <a:solidFill>
            <a:srgbClr val="000000"/>
          </a:solidFill>
          <a:latin typeface="+mn-lt"/>
          <a:ea typeface="Arial"/>
          <a:cs typeface="Arial"/>
        </a:defRPr>
      </a:pPr>
      <a:endParaRPr lang="de-DE"/>
    </a:p>
  </c:txPr>
  <c:printSettings>
    <c:headerFooter alignWithMargins="0"/>
    <c:pageMargins b="0.984251969" l="0.78740157499999996" r="0.78740157499999996" t="0.984251969" header="0.4921259845" footer="0.492125984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56269844203699"/>
          <c:y val="5.4558033802260097E-2"/>
          <c:w val="0.81226221722284719"/>
          <c:h val="0.62609908077610976"/>
        </c:manualLayout>
      </c:layout>
      <c:areaChart>
        <c:grouping val="standard"/>
        <c:varyColors val="0"/>
        <c:ser>
          <c:idx val="1"/>
          <c:order val="0"/>
          <c:tx>
            <c:v>Wärmebedarf inkl. Netzverluste</c:v>
          </c:tx>
          <c:spPr>
            <a:solidFill>
              <a:schemeClr val="accent1">
                <a:lumMod val="40000"/>
                <a:lumOff val="60000"/>
              </a:schemeClr>
            </a:solidFill>
            <a:ln>
              <a:solidFill>
                <a:schemeClr val="accent1"/>
              </a:solidFill>
            </a:ln>
            <a:effectLst/>
          </c:spP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B1_Calculs!$C$36:$C$60</c:f>
              <c:numCache>
                <c:formatCode>#,##0</c:formatCode>
                <c:ptCount val="25"/>
                <c:pt idx="0">
                  <c:v>0</c:v>
                </c:pt>
                <c:pt idx="1">
                  <c:v>0</c:v>
                </c:pt>
                <c:pt idx="2">
                  <c:v>138.88888888888889</c:v>
                </c:pt>
                <c:pt idx="3">
                  <c:v>951.5</c:v>
                </c:pt>
                <c:pt idx="4">
                  <c:v>1976.5350000000001</c:v>
                </c:pt>
                <c:pt idx="5">
                  <c:v>2016.0656999999999</c:v>
                </c:pt>
                <c:pt idx="6">
                  <c:v>1995.905043</c:v>
                </c:pt>
                <c:pt idx="7">
                  <c:v>1975.9459925699998</c:v>
                </c:pt>
                <c:pt idx="8">
                  <c:v>1956.1865326442999</c:v>
                </c:pt>
                <c:pt idx="9">
                  <c:v>1936.6246673178568</c:v>
                </c:pt>
                <c:pt idx="10">
                  <c:v>1917.2584206446782</c:v>
                </c:pt>
                <c:pt idx="11">
                  <c:v>1898.0858364382314</c:v>
                </c:pt>
                <c:pt idx="12">
                  <c:v>1879.104978073849</c:v>
                </c:pt>
                <c:pt idx="13">
                  <c:v>1860.3139282931106</c:v>
                </c:pt>
                <c:pt idx="14">
                  <c:v>1841.7107890101795</c:v>
                </c:pt>
                <c:pt idx="15">
                  <c:v>1823.2936811200775</c:v>
                </c:pt>
                <c:pt idx="16">
                  <c:v>1805.0607443088768</c:v>
                </c:pt>
                <c:pt idx="17">
                  <c:v>1787.0101368657879</c:v>
                </c:pt>
                <c:pt idx="18">
                  <c:v>1769.1400354971302</c:v>
                </c:pt>
                <c:pt idx="19">
                  <c:v>1751.4486351421588</c:v>
                </c:pt>
                <c:pt idx="20">
                  <c:v>1733.9341487907373</c:v>
                </c:pt>
                <c:pt idx="21">
                  <c:v>1716.5948073028296</c:v>
                </c:pt>
                <c:pt idx="22">
                  <c:v>1699.4288592298014</c:v>
                </c:pt>
                <c:pt idx="23">
                  <c:v>1682.4345706375034</c:v>
                </c:pt>
                <c:pt idx="24">
                  <c:v>1665.6102249311282</c:v>
                </c:pt>
              </c:numCache>
            </c:numRef>
          </c:val>
          <c:extLst>
            <c:ext xmlns:c16="http://schemas.microsoft.com/office/drawing/2014/chart" uri="{C3380CC4-5D6E-409C-BE32-E72D297353CC}">
              <c16:uniqueId val="{00000000-BF58-4DD5-B6E9-AE1EE2818305}"/>
            </c:ext>
          </c:extLst>
        </c:ser>
        <c:dLbls>
          <c:showLegendKey val="0"/>
          <c:showVal val="0"/>
          <c:showCatName val="0"/>
          <c:showSerName val="0"/>
          <c:showPercent val="0"/>
          <c:showBubbleSize val="0"/>
        </c:dLbls>
        <c:axId val="363559968"/>
        <c:axId val="363560752"/>
      </c:areaChart>
      <c:catAx>
        <c:axId val="363559968"/>
        <c:scaling>
          <c:orientation val="minMax"/>
        </c:scaling>
        <c:delete val="0"/>
        <c:axPos val="b"/>
        <c:numFmt formatCode="0" sourceLinked="1"/>
        <c:majorTickMark val="out"/>
        <c:minorTickMark val="none"/>
        <c:tickLblPos val="nextTo"/>
        <c:spPr>
          <a:noFill/>
          <a:ln w="9525" cap="flat" cmpd="sng" algn="ctr">
            <a:solidFill>
              <a:schemeClr val="tx1"/>
            </a:solidFill>
            <a:round/>
          </a:ln>
          <a:effectLst/>
        </c:spPr>
        <c:txPr>
          <a:bodyPr rot="-27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de-DE"/>
          </a:p>
        </c:txPr>
        <c:crossAx val="363560752"/>
        <c:crosses val="autoZero"/>
        <c:auto val="1"/>
        <c:lblAlgn val="ctr"/>
        <c:lblOffset val="100"/>
        <c:tickLblSkip val="1"/>
        <c:noMultiLvlLbl val="0"/>
      </c:catAx>
      <c:valAx>
        <c:axId val="363560752"/>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de-CH"/>
                  <a:t>Wärmebedarf [MWh/a]</a:t>
                </a:r>
              </a:p>
            </c:rich>
          </c:tx>
          <c:layout>
            <c:manualLayout>
              <c:xMode val="edge"/>
              <c:yMode val="edge"/>
              <c:x val="2.6389952622042499E-2"/>
              <c:y val="0.1465761758859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de-DE"/>
            </a:p>
          </c:txPr>
        </c:title>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de-DE"/>
          </a:p>
        </c:txPr>
        <c:crossAx val="363559968"/>
        <c:crosses val="autoZero"/>
        <c:crossBetween val="midCat"/>
      </c:valAx>
      <c:spPr>
        <a:noFill/>
        <a:ln>
          <a:solidFill>
            <a:sysClr val="windowText" lastClr="000000"/>
          </a:solidFill>
        </a:ln>
        <a:effectLst/>
      </c:spPr>
    </c:plotArea>
    <c:legend>
      <c:legendPos val="b"/>
      <c:layout>
        <c:manualLayout>
          <c:xMode val="edge"/>
          <c:yMode val="edge"/>
          <c:x val="0.29474635342713301"/>
          <c:y val="0.88238263104141301"/>
          <c:w val="0.41050710191280698"/>
          <c:h val="0.100880967284947"/>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de-DE"/>
        </a:p>
      </c:txPr>
    </c:legend>
    <c:plotVisOnly val="1"/>
    <c:dispBlanksAs val="zero"/>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89812721392159"/>
          <c:y val="6.3769425048284062E-2"/>
          <c:w val="0.83438843655335382"/>
          <c:h val="0.73831074394389229"/>
        </c:manualLayout>
      </c:layout>
      <c:barChart>
        <c:barDir val="col"/>
        <c:grouping val="clustered"/>
        <c:varyColors val="0"/>
        <c:ser>
          <c:idx val="1"/>
          <c:order val="0"/>
          <c:tx>
            <c:strRef>
              <c:f>B1_Calculs!$E$31</c:f>
              <c:strCache>
                <c:ptCount val="1"/>
                <c:pt idx="0">
                  <c:v>Dépenses</c:v>
                </c:pt>
              </c:strCache>
            </c:strRef>
          </c:tx>
          <c:spPr>
            <a:solidFill>
              <a:schemeClr val="accent1"/>
            </a:solidFill>
            <a:ln w="12700">
              <a:solidFill>
                <a:schemeClr val="accent1"/>
              </a:solidFill>
              <a:prstDash val="solid"/>
            </a:ln>
          </c:spPr>
          <c:invertIfNegative val="0"/>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B1_Calculs!$O$36:$O$60</c:f>
              <c:numCache>
                <c:formatCode>#,##0</c:formatCode>
                <c:ptCount val="25"/>
                <c:pt idx="0">
                  <c:v>42400</c:v>
                </c:pt>
                <c:pt idx="1">
                  <c:v>40907.333333333336</c:v>
                </c:pt>
                <c:pt idx="2">
                  <c:v>135165.74597222221</c:v>
                </c:pt>
                <c:pt idx="3">
                  <c:v>188406.64088045835</c:v>
                </c:pt>
                <c:pt idx="4">
                  <c:v>257051.65294678809</c:v>
                </c:pt>
                <c:pt idx="5">
                  <c:v>260024.0149463625</c:v>
                </c:pt>
                <c:pt idx="6">
                  <c:v>258966.87732750765</c:v>
                </c:pt>
                <c:pt idx="7">
                  <c:v>257915.97357024092</c:v>
                </c:pt>
                <c:pt idx="8">
                  <c:v>261671.36599932137</c:v>
                </c:pt>
                <c:pt idx="9">
                  <c:v>259673.11756275664</c:v>
                </c:pt>
                <c:pt idx="10">
                  <c:v>257681.29183803586</c:v>
                </c:pt>
                <c:pt idx="11">
                  <c:v>255695.95303842457</c:v>
                </c:pt>
                <c:pt idx="12">
                  <c:v>253717.16601932229</c:v>
                </c:pt>
                <c:pt idx="13">
                  <c:v>251744.99628468402</c:v>
                </c:pt>
                <c:pt idx="14">
                  <c:v>250739.50999350546</c:v>
                </c:pt>
                <c:pt idx="15">
                  <c:v>249740.77396637382</c:v>
                </c:pt>
                <c:pt idx="16">
                  <c:v>250415.52235875031</c:v>
                </c:pt>
                <c:pt idx="17">
                  <c:v>251311.78194147858</c:v>
                </c:pt>
                <c:pt idx="18">
                  <c:v>252000.37101222735</c:v>
                </c:pt>
                <c:pt idx="19">
                  <c:v>252695.98437859979</c:v>
                </c:pt>
                <c:pt idx="20">
                  <c:v>253398.69226971181</c:v>
                </c:pt>
                <c:pt idx="21">
                  <c:v>254108.56561697152</c:v>
                </c:pt>
                <c:pt idx="22">
                  <c:v>259229.47686006228</c:v>
                </c:pt>
                <c:pt idx="23">
                  <c:v>259953.89675819743</c:v>
                </c:pt>
                <c:pt idx="24">
                  <c:v>260685.6991910417</c:v>
                </c:pt>
              </c:numCache>
            </c:numRef>
          </c:val>
          <c:extLst>
            <c:ext xmlns:c16="http://schemas.microsoft.com/office/drawing/2014/chart" uri="{C3380CC4-5D6E-409C-BE32-E72D297353CC}">
              <c16:uniqueId val="{00000000-53BE-433E-829B-32533F4DBF6D}"/>
            </c:ext>
          </c:extLst>
        </c:ser>
        <c:ser>
          <c:idx val="2"/>
          <c:order val="1"/>
          <c:tx>
            <c:strRef>
              <c:f>B1_Calculs!$P$31</c:f>
              <c:strCache>
                <c:ptCount val="1"/>
                <c:pt idx="0">
                  <c:v>Recettes</c:v>
                </c:pt>
              </c:strCache>
            </c:strRef>
          </c:tx>
          <c:spPr>
            <a:solidFill>
              <a:schemeClr val="accent6">
                <a:lumMod val="60000"/>
                <a:lumOff val="40000"/>
              </a:schemeClr>
            </a:solidFill>
            <a:ln w="12700">
              <a:solidFill>
                <a:schemeClr val="accent6"/>
              </a:solidFill>
              <a:prstDash val="solid"/>
            </a:ln>
          </c:spPr>
          <c:invertIfNegative val="0"/>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B1_Calculs!$U$36:$U$60</c:f>
              <c:numCache>
                <c:formatCode>#,##0</c:formatCode>
                <c:ptCount val="25"/>
                <c:pt idx="0">
                  <c:v>0</c:v>
                </c:pt>
                <c:pt idx="1">
                  <c:v>0</c:v>
                </c:pt>
                <c:pt idx="2">
                  <c:v>258000.637625</c:v>
                </c:pt>
                <c:pt idx="3">
                  <c:v>701395.17619491345</c:v>
                </c:pt>
                <c:pt idx="4">
                  <c:v>337084.93450852402</c:v>
                </c:pt>
                <c:pt idx="5">
                  <c:v>297856.0340102351</c:v>
                </c:pt>
                <c:pt idx="6">
                  <c:v>298846.83851148636</c:v>
                </c:pt>
                <c:pt idx="7">
                  <c:v>299847.739833334</c:v>
                </c:pt>
                <c:pt idx="8">
                  <c:v>300858.83892510645</c:v>
                </c:pt>
                <c:pt idx="9">
                  <c:v>301880.2377456273</c:v>
                </c:pt>
                <c:pt idx="10">
                  <c:v>302912.03927331022</c:v>
                </c:pt>
                <c:pt idx="11">
                  <c:v>303954.34751635487</c:v>
                </c:pt>
                <c:pt idx="12">
                  <c:v>305007.26752304501</c:v>
                </c:pt>
                <c:pt idx="13">
                  <c:v>306070.90539214888</c:v>
                </c:pt>
                <c:pt idx="14">
                  <c:v>307145.36828342447</c:v>
                </c:pt>
                <c:pt idx="15">
                  <c:v>308230.76442822895</c:v>
                </c:pt>
                <c:pt idx="16">
                  <c:v>309327.20314023539</c:v>
                </c:pt>
                <c:pt idx="17">
                  <c:v>310434.79482625506</c:v>
                </c:pt>
                <c:pt idx="18">
                  <c:v>311553.65099716949</c:v>
                </c:pt>
                <c:pt idx="19">
                  <c:v>302683.88427897077</c:v>
                </c:pt>
                <c:pt idx="20">
                  <c:v>303825.6084239129</c:v>
                </c:pt>
                <c:pt idx="21">
                  <c:v>304978.93832177424</c:v>
                </c:pt>
                <c:pt idx="22">
                  <c:v>306143.99001123285</c:v>
                </c:pt>
                <c:pt idx="23">
                  <c:v>307320.88069135533</c:v>
                </c:pt>
                <c:pt idx="24">
                  <c:v>308509.72873320116</c:v>
                </c:pt>
              </c:numCache>
            </c:numRef>
          </c:val>
          <c:extLst>
            <c:ext xmlns:c16="http://schemas.microsoft.com/office/drawing/2014/chart" uri="{C3380CC4-5D6E-409C-BE32-E72D297353CC}">
              <c16:uniqueId val="{00000001-53BE-433E-829B-32533F4DBF6D}"/>
            </c:ext>
          </c:extLst>
        </c:ser>
        <c:dLbls>
          <c:showLegendKey val="0"/>
          <c:showVal val="0"/>
          <c:showCatName val="0"/>
          <c:showSerName val="0"/>
          <c:showPercent val="0"/>
          <c:showBubbleSize val="0"/>
        </c:dLbls>
        <c:gapWidth val="150"/>
        <c:axId val="363560360"/>
        <c:axId val="878606712"/>
      </c:barChart>
      <c:lineChart>
        <c:grouping val="standard"/>
        <c:varyColors val="0"/>
        <c:ser>
          <c:idx val="0"/>
          <c:order val="2"/>
          <c:tx>
            <c:strRef>
              <c:f>B1_Calculs!$W$33</c:f>
              <c:strCache>
                <c:ptCount val="1"/>
                <c:pt idx="0">
                  <c:v>Cumul excédent / déficit</c:v>
                </c:pt>
              </c:strCache>
            </c:strRef>
          </c:tx>
          <c:spPr>
            <a:ln w="19050">
              <a:solidFill>
                <a:schemeClr val="accent2"/>
              </a:solidFill>
            </a:ln>
          </c:spPr>
          <c:marker>
            <c:symbol val="none"/>
          </c:marke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B1_Calculs!$W$36:$W$60</c:f>
              <c:numCache>
                <c:formatCode>#,##0</c:formatCode>
                <c:ptCount val="25"/>
                <c:pt idx="0">
                  <c:v>-42400</c:v>
                </c:pt>
                <c:pt idx="1">
                  <c:v>-83307.333333333343</c:v>
                </c:pt>
                <c:pt idx="2">
                  <c:v>39527.558319444448</c:v>
                </c:pt>
                <c:pt idx="3">
                  <c:v>552516.09363389958</c:v>
                </c:pt>
                <c:pt idx="4">
                  <c:v>632549.37519563548</c:v>
                </c:pt>
                <c:pt idx="5">
                  <c:v>670381.39425950812</c:v>
                </c:pt>
                <c:pt idx="6">
                  <c:v>710261.35544348683</c:v>
                </c:pt>
                <c:pt idx="7">
                  <c:v>752193.12170657993</c:v>
                </c:pt>
                <c:pt idx="8">
                  <c:v>791380.59463236504</c:v>
                </c:pt>
                <c:pt idx="9">
                  <c:v>833587.7148152357</c:v>
                </c:pt>
                <c:pt idx="10">
                  <c:v>878818.46225051</c:v>
                </c:pt>
                <c:pt idx="11">
                  <c:v>927076.85672844027</c:v>
                </c:pt>
                <c:pt idx="12">
                  <c:v>978366.95823216299</c:v>
                </c:pt>
                <c:pt idx="13">
                  <c:v>1032692.8673396278</c:v>
                </c:pt>
                <c:pt idx="14">
                  <c:v>1089098.7256295469</c:v>
                </c:pt>
                <c:pt idx="15">
                  <c:v>1147588.7160914021</c:v>
                </c:pt>
                <c:pt idx="16">
                  <c:v>1206500.3968728872</c:v>
                </c:pt>
                <c:pt idx="17">
                  <c:v>1265623.4097576637</c:v>
                </c:pt>
                <c:pt idx="18">
                  <c:v>1325176.6897426059</c:v>
                </c:pt>
                <c:pt idx="19">
                  <c:v>1375164.5896429769</c:v>
                </c:pt>
                <c:pt idx="20">
                  <c:v>1425591.505797178</c:v>
                </c:pt>
                <c:pt idx="21">
                  <c:v>1476461.8785019808</c:v>
                </c:pt>
                <c:pt idx="22">
                  <c:v>1523376.3916531513</c:v>
                </c:pt>
                <c:pt idx="23">
                  <c:v>1570743.3755863092</c:v>
                </c:pt>
                <c:pt idx="24">
                  <c:v>1618567.4051284688</c:v>
                </c:pt>
              </c:numCache>
            </c:numRef>
          </c:val>
          <c:smooth val="0"/>
          <c:extLst>
            <c:ext xmlns:c16="http://schemas.microsoft.com/office/drawing/2014/chart" uri="{C3380CC4-5D6E-409C-BE32-E72D297353CC}">
              <c16:uniqueId val="{00000000-02BB-40AC-AABA-A3EC3CBE052F}"/>
            </c:ext>
          </c:extLst>
        </c:ser>
        <c:dLbls>
          <c:showLegendKey val="0"/>
          <c:showVal val="0"/>
          <c:showCatName val="0"/>
          <c:showSerName val="0"/>
          <c:showPercent val="0"/>
          <c:showBubbleSize val="0"/>
        </c:dLbls>
        <c:marker val="1"/>
        <c:smooth val="0"/>
        <c:axId val="363560360"/>
        <c:axId val="878606712"/>
        <c:extLst/>
      </c:lineChart>
      <c:catAx>
        <c:axId val="363560360"/>
        <c:scaling>
          <c:orientation val="minMax"/>
        </c:scaling>
        <c:delete val="0"/>
        <c:axPos val="b"/>
        <c:numFmt formatCode="0" sourceLinked="1"/>
        <c:majorTickMark val="none"/>
        <c:minorTickMark val="none"/>
        <c:tickLblPos val="low"/>
        <c:spPr>
          <a:ln w="3175">
            <a:solidFill>
              <a:srgbClr val="000000"/>
            </a:solidFill>
            <a:prstDash val="solid"/>
          </a:ln>
        </c:spPr>
        <c:txPr>
          <a:bodyPr rot="-2400000" vert="horz"/>
          <a:lstStyle/>
          <a:p>
            <a:pPr>
              <a:defRPr sz="1000"/>
            </a:pPr>
            <a:endParaRPr lang="de-DE"/>
          </a:p>
        </c:txPr>
        <c:crossAx val="878606712"/>
        <c:crosses val="autoZero"/>
        <c:auto val="1"/>
        <c:lblAlgn val="ctr"/>
        <c:lblOffset val="100"/>
        <c:tickLblSkip val="1"/>
        <c:tickMarkSkip val="1"/>
        <c:noMultiLvlLbl val="0"/>
      </c:catAx>
      <c:valAx>
        <c:axId val="878606712"/>
        <c:scaling>
          <c:orientation val="minMax"/>
        </c:scaling>
        <c:delete val="0"/>
        <c:axPos val="l"/>
        <c:majorGridlines>
          <c:spPr>
            <a:ln w="3175">
              <a:solidFill>
                <a:srgbClr val="000000"/>
              </a:solidFill>
              <a:prstDash val="solid"/>
            </a:ln>
          </c:spPr>
        </c:majorGridlines>
        <c:title>
          <c:tx>
            <c:rich>
              <a:bodyPr/>
              <a:lstStyle/>
              <a:p>
                <a:pPr>
                  <a:defRPr sz="1000"/>
                </a:pPr>
                <a:r>
                  <a:rPr lang="de-DE" sz="1000"/>
                  <a:t>Montant [CHF]</a:t>
                </a:r>
              </a:p>
            </c:rich>
          </c:tx>
          <c:layout>
            <c:manualLayout>
              <c:xMode val="edge"/>
              <c:yMode val="edge"/>
              <c:x val="8.1353149587787485E-3"/>
              <c:y val="0.3489898025041951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a:pPr>
            <a:endParaRPr lang="de-DE"/>
          </a:p>
        </c:txPr>
        <c:crossAx val="363560360"/>
        <c:crosses val="autoZero"/>
        <c:crossBetween val="between"/>
      </c:valAx>
      <c:spPr>
        <a:noFill/>
        <a:ln w="12700">
          <a:solidFill>
            <a:schemeClr val="tx1"/>
          </a:solidFill>
          <a:prstDash val="solid"/>
        </a:ln>
      </c:spPr>
    </c:plotArea>
    <c:legend>
      <c:legendPos val="b"/>
      <c:layout>
        <c:manualLayout>
          <c:xMode val="edge"/>
          <c:yMode val="edge"/>
          <c:x val="3.125E-2"/>
          <c:y val="0.94500157480314995"/>
          <c:w val="0.69568592558112308"/>
          <c:h val="5.4998522535676421E-2"/>
        </c:manualLayout>
      </c:layout>
      <c:overlay val="0"/>
      <c:spPr>
        <a:solidFill>
          <a:srgbClr val="FFFFFF"/>
        </a:solidFill>
        <a:ln w="3175">
          <a:noFill/>
          <a:prstDash val="solid"/>
        </a:ln>
      </c:spPr>
      <c:txPr>
        <a:bodyPr/>
        <a:lstStyle/>
        <a:p>
          <a:pPr>
            <a:defRPr sz="1000"/>
          </a:pPr>
          <a:endParaRPr lang="de-DE"/>
        </a:p>
      </c:txPr>
    </c:legend>
    <c:plotVisOnly val="1"/>
    <c:dispBlanksAs val="gap"/>
    <c:showDLblsOverMax val="0"/>
  </c:chart>
  <c:spPr>
    <a:solidFill>
      <a:srgbClr val="FFFFFF"/>
    </a:solidFill>
    <a:ln w="3175">
      <a:noFill/>
      <a:prstDash val="solid"/>
    </a:ln>
  </c:spPr>
  <c:txPr>
    <a:bodyPr/>
    <a:lstStyle/>
    <a:p>
      <a:pPr>
        <a:defRPr sz="1475" b="0" i="0" u="none" strike="noStrike" baseline="0">
          <a:solidFill>
            <a:srgbClr val="000000"/>
          </a:solidFill>
          <a:latin typeface="+mn-lt"/>
          <a:ea typeface="Arial"/>
          <a:cs typeface="Arial"/>
        </a:defRPr>
      </a:pPr>
      <a:endParaRPr lang="de-DE"/>
    </a:p>
  </c:txPr>
  <c:printSettings>
    <c:headerFooter alignWithMargins="0"/>
    <c:pageMargins b="0.984251969" l="0.78740157499999996" r="0.78740157499999996" t="0.984251969" header="0.4921259845" footer="0.492125984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787689808324"/>
          <c:y val="3.2291646889812869E-2"/>
          <c:w val="0.80839458295666455"/>
          <c:h val="0.63794449851071988"/>
        </c:manualLayout>
      </c:layout>
      <c:areaChart>
        <c:grouping val="standard"/>
        <c:varyColors val="0"/>
        <c:ser>
          <c:idx val="0"/>
          <c:order val="0"/>
          <c:tx>
            <c:strRef>
              <c:f>B1_Calculs!$AE$33</c:f>
              <c:strCache>
                <c:ptCount val="1"/>
                <c:pt idx="0">
                  <c:v>Solde du crédit</c:v>
                </c:pt>
              </c:strCache>
            </c:strRef>
          </c:tx>
          <c:spPr>
            <a:solidFill>
              <a:schemeClr val="accent1">
                <a:lumMod val="60000"/>
                <a:lumOff val="40000"/>
              </a:schemeClr>
            </a:solidFill>
            <a:ln w="12700">
              <a:solidFill>
                <a:schemeClr val="accent1"/>
              </a:solidFill>
              <a:prstDash val="solid"/>
            </a:ln>
          </c:spP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B1_Calculs!$AE$36:$AE$60</c:f>
              <c:numCache>
                <c:formatCode>#,##0</c:formatCode>
                <c:ptCount val="25"/>
                <c:pt idx="0">
                  <c:v>-1000000</c:v>
                </c:pt>
                <c:pt idx="1">
                  <c:v>-933333.33333333337</c:v>
                </c:pt>
                <c:pt idx="2">
                  <c:v>-866666.66666666663</c:v>
                </c:pt>
                <c:pt idx="3">
                  <c:v>-800000</c:v>
                </c:pt>
                <c:pt idx="4">
                  <c:v>-733333.33333333326</c:v>
                </c:pt>
                <c:pt idx="5">
                  <c:v>-666666.66666666663</c:v>
                </c:pt>
                <c:pt idx="6">
                  <c:v>-600000</c:v>
                </c:pt>
                <c:pt idx="7">
                  <c:v>-533333.33333333326</c:v>
                </c:pt>
                <c:pt idx="8">
                  <c:v>-586666.66666666663</c:v>
                </c:pt>
                <c:pt idx="9">
                  <c:v>-496000</c:v>
                </c:pt>
                <c:pt idx="10">
                  <c:v>-405333.33333333326</c:v>
                </c:pt>
                <c:pt idx="11">
                  <c:v>-314666.66666666663</c:v>
                </c:pt>
                <c:pt idx="12">
                  <c:v>-224000</c:v>
                </c:pt>
                <c:pt idx="13">
                  <c:v>-133333.33333333326</c:v>
                </c:pt>
                <c:pt idx="14">
                  <c:v>-66666.666666666628</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9DD1-4CC9-A52B-7F4ED61E9DD0}"/>
            </c:ext>
          </c:extLst>
        </c:ser>
        <c:ser>
          <c:idx val="5"/>
          <c:order val="1"/>
          <c:tx>
            <c:strRef>
              <c:f>B1_Calculs!$AF$33</c:f>
              <c:strCache>
                <c:ptCount val="1"/>
                <c:pt idx="0">
                  <c:v>Valeur résiduelle des installations</c:v>
                </c:pt>
              </c:strCache>
            </c:strRef>
          </c:tx>
          <c:spPr>
            <a:solidFill>
              <a:schemeClr val="accent6">
                <a:lumMod val="60000"/>
                <a:lumOff val="40000"/>
              </a:schemeClr>
            </a:solidFill>
            <a:ln w="12700">
              <a:solidFill>
                <a:schemeClr val="accent6"/>
              </a:solidFill>
            </a:ln>
          </c:spP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B1_Calculs!$AF$36:$AF$60</c:f>
              <c:numCache>
                <c:formatCode>#,##0</c:formatCode>
                <c:ptCount val="25"/>
                <c:pt idx="0">
                  <c:v>284000</c:v>
                </c:pt>
                <c:pt idx="1">
                  <c:v>710000</c:v>
                </c:pt>
                <c:pt idx="2">
                  <c:v>1376166.6666666667</c:v>
                </c:pt>
                <c:pt idx="3">
                  <c:v>1332333.3333333335</c:v>
                </c:pt>
                <c:pt idx="4">
                  <c:v>1288500.0000000002</c:v>
                </c:pt>
                <c:pt idx="5">
                  <c:v>1244666.666666667</c:v>
                </c:pt>
                <c:pt idx="6">
                  <c:v>1200833.3333333337</c:v>
                </c:pt>
                <c:pt idx="7">
                  <c:v>1157000.0000000005</c:v>
                </c:pt>
                <c:pt idx="8">
                  <c:v>1113166.6666666672</c:v>
                </c:pt>
                <c:pt idx="9">
                  <c:v>1069333.333333334</c:v>
                </c:pt>
                <c:pt idx="10">
                  <c:v>1025500.0000000006</c:v>
                </c:pt>
                <c:pt idx="11">
                  <c:v>981666.66666666721</c:v>
                </c:pt>
                <c:pt idx="12">
                  <c:v>937833.33333333384</c:v>
                </c:pt>
                <c:pt idx="13">
                  <c:v>894000.00000000047</c:v>
                </c:pt>
                <c:pt idx="14">
                  <c:v>850166.66666666709</c:v>
                </c:pt>
                <c:pt idx="15">
                  <c:v>806333.33333333372</c:v>
                </c:pt>
                <c:pt idx="16">
                  <c:v>762500.00000000035</c:v>
                </c:pt>
                <c:pt idx="17">
                  <c:v>741671.42050024029</c:v>
                </c:pt>
                <c:pt idx="18">
                  <c:v>697623.46189308027</c:v>
                </c:pt>
                <c:pt idx="19">
                  <c:v>653575.50328592025</c:v>
                </c:pt>
                <c:pt idx="20">
                  <c:v>609527.54467876023</c:v>
                </c:pt>
                <c:pt idx="21">
                  <c:v>565479.58607160021</c:v>
                </c:pt>
                <c:pt idx="22">
                  <c:v>1005103.8426446677</c:v>
                </c:pt>
                <c:pt idx="23">
                  <c:v>956652.08323854837</c:v>
                </c:pt>
                <c:pt idx="24">
                  <c:v>908200.32383242901</c:v>
                </c:pt>
              </c:numCache>
            </c:numRef>
          </c:val>
          <c:extLst>
            <c:ext xmlns:c16="http://schemas.microsoft.com/office/drawing/2014/chart" uri="{C3380CC4-5D6E-409C-BE32-E72D297353CC}">
              <c16:uniqueId val="{00000001-9DD1-4CC9-A52B-7F4ED61E9DD0}"/>
            </c:ext>
          </c:extLst>
        </c:ser>
        <c:dLbls>
          <c:showLegendKey val="0"/>
          <c:showVal val="0"/>
          <c:showCatName val="0"/>
          <c:showSerName val="0"/>
          <c:showPercent val="0"/>
          <c:showBubbleSize val="0"/>
        </c:dLbls>
        <c:axId val="878607104"/>
        <c:axId val="878604360"/>
      </c:areaChart>
      <c:lineChart>
        <c:grouping val="standard"/>
        <c:varyColors val="0"/>
        <c:ser>
          <c:idx val="1"/>
          <c:order val="2"/>
          <c:tx>
            <c:strRef>
              <c:f>B1_Calculs!$AB$33</c:f>
              <c:strCache>
                <c:ptCount val="1"/>
                <c:pt idx="0">
                  <c:v>Cash-flow cumulé</c:v>
                </c:pt>
              </c:strCache>
            </c:strRef>
          </c:tx>
          <c:spPr>
            <a:ln w="19050">
              <a:solidFill>
                <a:schemeClr val="accent2"/>
              </a:solidFill>
            </a:ln>
          </c:spPr>
          <c:marker>
            <c:symbol val="none"/>
          </c:marker>
          <c:cat>
            <c:numRef>
              <c:f>B1_Calculs!$B$36:$B$60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B1_Calculs!$AB$36:$AB$60</c:f>
              <c:numCache>
                <c:formatCode>#,##0</c:formatCode>
                <c:ptCount val="25"/>
                <c:pt idx="0">
                  <c:v>630600</c:v>
                </c:pt>
                <c:pt idx="1">
                  <c:v>32526</c:v>
                </c:pt>
                <c:pt idx="2">
                  <c:v>-684972.44168055546</c:v>
                </c:pt>
                <c:pt idx="3">
                  <c:v>-194817.23969943373</c:v>
                </c:pt>
                <c:pt idx="4">
                  <c:v>-137617.29147103115</c:v>
                </c:pt>
                <c:pt idx="5">
                  <c:v>-122618.60574049187</c:v>
                </c:pt>
                <c:pt idx="6">
                  <c:v>-105571.97788984649</c:v>
                </c:pt>
                <c:pt idx="7">
                  <c:v>-86473.544960086743</c:v>
                </c:pt>
                <c:pt idx="8">
                  <c:v>49880.594632364999</c:v>
                </c:pt>
                <c:pt idx="9">
                  <c:v>45254.381481902325</c:v>
                </c:pt>
                <c:pt idx="10">
                  <c:v>43651.795583843355</c:v>
                </c:pt>
                <c:pt idx="11">
                  <c:v>45076.856728440325</c:v>
                </c:pt>
                <c:pt idx="12">
                  <c:v>49533.624898829716</c:v>
                </c:pt>
                <c:pt idx="13">
                  <c:v>57026.200672961248</c:v>
                </c:pt>
                <c:pt idx="14">
                  <c:v>90598.725629546927</c:v>
                </c:pt>
                <c:pt idx="15">
                  <c:v>126255.38275806874</c:v>
                </c:pt>
                <c:pt idx="16">
                  <c:v>229000.39687288716</c:v>
                </c:pt>
                <c:pt idx="17">
                  <c:v>308951.98925742367</c:v>
                </c:pt>
                <c:pt idx="18">
                  <c:v>412553.22784952581</c:v>
                </c:pt>
                <c:pt idx="19">
                  <c:v>506589.08635705675</c:v>
                </c:pt>
                <c:pt idx="20">
                  <c:v>601063.96111841779</c:v>
                </c:pt>
                <c:pt idx="21">
                  <c:v>695982.29243038048</c:v>
                </c:pt>
                <c:pt idx="22">
                  <c:v>303272.54900848353</c:v>
                </c:pt>
                <c:pt idx="23">
                  <c:v>399091.29234776075</c:v>
                </c:pt>
                <c:pt idx="24">
                  <c:v>495367.08129603951</c:v>
                </c:pt>
              </c:numCache>
            </c:numRef>
          </c:val>
          <c:smooth val="0"/>
          <c:extLst>
            <c:ext xmlns:c16="http://schemas.microsoft.com/office/drawing/2014/chart" uri="{C3380CC4-5D6E-409C-BE32-E72D297353CC}">
              <c16:uniqueId val="{00000000-F3CD-4DD1-956D-622EFF313AAF}"/>
            </c:ext>
          </c:extLst>
        </c:ser>
        <c:dLbls>
          <c:showLegendKey val="0"/>
          <c:showVal val="0"/>
          <c:showCatName val="0"/>
          <c:showSerName val="0"/>
          <c:showPercent val="0"/>
          <c:showBubbleSize val="0"/>
        </c:dLbls>
        <c:marker val="1"/>
        <c:smooth val="0"/>
        <c:axId val="878607104"/>
        <c:axId val="878604360"/>
      </c:lineChart>
      <c:catAx>
        <c:axId val="878607104"/>
        <c:scaling>
          <c:orientation val="minMax"/>
        </c:scaling>
        <c:delete val="0"/>
        <c:axPos val="b"/>
        <c:numFmt formatCode="0" sourceLinked="1"/>
        <c:majorTickMark val="none"/>
        <c:minorTickMark val="none"/>
        <c:tickLblPos val="low"/>
        <c:spPr>
          <a:ln w="3175">
            <a:solidFill>
              <a:srgbClr val="000000"/>
            </a:solidFill>
            <a:prstDash val="solid"/>
          </a:ln>
        </c:spPr>
        <c:txPr>
          <a:bodyPr rot="-2700000" vert="horz"/>
          <a:lstStyle/>
          <a:p>
            <a:pPr>
              <a:defRPr sz="1000"/>
            </a:pPr>
            <a:endParaRPr lang="de-DE"/>
          </a:p>
        </c:txPr>
        <c:crossAx val="878604360"/>
        <c:crosses val="autoZero"/>
        <c:auto val="1"/>
        <c:lblAlgn val="ctr"/>
        <c:lblOffset val="100"/>
        <c:tickLblSkip val="1"/>
        <c:noMultiLvlLbl val="0"/>
      </c:catAx>
      <c:valAx>
        <c:axId val="878604360"/>
        <c:scaling>
          <c:orientation val="minMax"/>
        </c:scaling>
        <c:delete val="0"/>
        <c:axPos val="l"/>
        <c:majorGridlines>
          <c:spPr>
            <a:ln w="3175">
              <a:solidFill>
                <a:srgbClr val="000000"/>
              </a:solidFill>
              <a:prstDash val="solid"/>
            </a:ln>
          </c:spPr>
        </c:majorGridlines>
        <c:title>
          <c:tx>
            <c:rich>
              <a:bodyPr/>
              <a:lstStyle/>
              <a:p>
                <a:pPr>
                  <a:defRPr sz="1000"/>
                </a:pPr>
                <a:r>
                  <a:rPr lang="de-DE" sz="1000"/>
                  <a:t>Montant [CHF]</a:t>
                </a:r>
              </a:p>
            </c:rich>
          </c:tx>
          <c:layout>
            <c:manualLayout>
              <c:xMode val="edge"/>
              <c:yMode val="edge"/>
              <c:x val="1.2875653438494897E-2"/>
              <c:y val="0.2460119732224482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a:pPr>
            <a:endParaRPr lang="de-DE"/>
          </a:p>
        </c:txPr>
        <c:crossAx val="878607104"/>
        <c:crosses val="autoZero"/>
        <c:crossBetween val="between"/>
      </c:valAx>
      <c:spPr>
        <a:noFill/>
        <a:ln w="12700">
          <a:solidFill>
            <a:schemeClr val="tx1"/>
          </a:solidFill>
          <a:prstDash val="solid"/>
        </a:ln>
      </c:spPr>
    </c:plotArea>
    <c:legend>
      <c:legendPos val="b"/>
      <c:layout>
        <c:manualLayout>
          <c:xMode val="edge"/>
          <c:yMode val="edge"/>
          <c:x val="3.1249929033413257E-2"/>
          <c:y val="0.90005780176354355"/>
          <c:w val="0.78510793471947449"/>
          <c:h val="9.9942145529681128E-2"/>
        </c:manualLayout>
      </c:layout>
      <c:overlay val="0"/>
      <c:spPr>
        <a:solidFill>
          <a:srgbClr val="FFFFFF"/>
        </a:solidFill>
        <a:ln w="3175">
          <a:noFill/>
          <a:prstDash val="solid"/>
        </a:ln>
      </c:spPr>
      <c:txPr>
        <a:bodyPr/>
        <a:lstStyle/>
        <a:p>
          <a:pPr>
            <a:defRPr sz="1000"/>
          </a:pPr>
          <a:endParaRPr lang="de-DE"/>
        </a:p>
      </c:txPr>
    </c:legend>
    <c:plotVisOnly val="1"/>
    <c:dispBlanksAs val="gap"/>
    <c:showDLblsOverMax val="0"/>
  </c:chart>
  <c:spPr>
    <a:solidFill>
      <a:srgbClr val="FFFFFF"/>
    </a:solidFill>
    <a:ln w="3175">
      <a:noFill/>
      <a:prstDash val="solid"/>
    </a:ln>
  </c:spPr>
  <c:txPr>
    <a:bodyPr/>
    <a:lstStyle/>
    <a:p>
      <a:pPr>
        <a:defRPr sz="1475" b="0" i="0" u="none" strike="noStrike" baseline="0">
          <a:solidFill>
            <a:srgbClr val="000000"/>
          </a:solidFill>
          <a:latin typeface="+mn-lt"/>
          <a:ea typeface="Arial"/>
          <a:cs typeface="Arial"/>
        </a:defRPr>
      </a:pPr>
      <a:endParaRPr lang="de-DE"/>
    </a:p>
  </c:txPr>
  <c:printSettings>
    <c:headerFooter alignWithMargins="0"/>
    <c:pageMargins b="0.984251969" l="0.78740157499999996" r="0.78740157499999996" t="0.984251969" header="0.4921259845" footer="0.4921259845"/>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38</xdr:col>
      <xdr:colOff>47625</xdr:colOff>
      <xdr:row>6</xdr:row>
      <xdr:rowOff>40480</xdr:rowOff>
    </xdr:from>
    <xdr:to>
      <xdr:col>103</xdr:col>
      <xdr:colOff>23813</xdr:colOff>
      <xdr:row>28</xdr:row>
      <xdr:rowOff>130969</xdr:rowOff>
    </xdr:to>
    <xdr:graphicFrame macro="">
      <xdr:nvGraphicFramePr>
        <xdr:cNvPr id="3" name="Diagramm 24">
          <a:extLst>
            <a:ext uri="{FF2B5EF4-FFF2-40B4-BE49-F238E27FC236}">
              <a16:creationId xmlns:a16="http://schemas.microsoft.com/office/drawing/2014/main" id="{3F9F7BAA-DB88-4C79-9073-FE988C0D33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783433</xdr:colOff>
      <xdr:row>6</xdr:row>
      <xdr:rowOff>45243</xdr:rowOff>
    </xdr:from>
    <xdr:to>
      <xdr:col>32</xdr:col>
      <xdr:colOff>285714</xdr:colOff>
      <xdr:row>29</xdr:row>
      <xdr:rowOff>44680</xdr:rowOff>
    </xdr:to>
    <xdr:graphicFrame macro="">
      <xdr:nvGraphicFramePr>
        <xdr:cNvPr id="4" name="Diagramm 24">
          <a:extLst>
            <a:ext uri="{FF2B5EF4-FFF2-40B4-BE49-F238E27FC236}">
              <a16:creationId xmlns:a16="http://schemas.microsoft.com/office/drawing/2014/main" id="{E8AE3B2A-351E-406A-A34A-B7745D530A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14284</xdr:colOff>
      <xdr:row>6</xdr:row>
      <xdr:rowOff>61914</xdr:rowOff>
    </xdr:from>
    <xdr:to>
      <xdr:col>20</xdr:col>
      <xdr:colOff>76159</xdr:colOff>
      <xdr:row>29</xdr:row>
      <xdr:rowOff>61351</xdr:rowOff>
    </xdr:to>
    <xdr:graphicFrame macro="">
      <xdr:nvGraphicFramePr>
        <xdr:cNvPr id="5" name="Diagramm 24">
          <a:extLst>
            <a:ext uri="{FF2B5EF4-FFF2-40B4-BE49-F238E27FC236}">
              <a16:creationId xmlns:a16="http://schemas.microsoft.com/office/drawing/2014/main" id="{008449FD-7ACD-40E0-AAAC-077FBC1635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95250</xdr:colOff>
      <xdr:row>8</xdr:row>
      <xdr:rowOff>38099</xdr:rowOff>
    </xdr:from>
    <xdr:to>
      <xdr:col>12</xdr:col>
      <xdr:colOff>657225</xdr:colOff>
      <xdr:row>19</xdr:row>
      <xdr:rowOff>123825</xdr:rowOff>
    </xdr:to>
    <xdr:graphicFrame macro="">
      <xdr:nvGraphicFramePr>
        <xdr:cNvPr id="3" name="Diagramm 2">
          <a:extLst>
            <a:ext uri="{FF2B5EF4-FFF2-40B4-BE49-F238E27FC236}">
              <a16:creationId xmlns:a16="http://schemas.microsoft.com/office/drawing/2014/main" id="{16A6ABB0-CC87-4DCC-8C77-3E5D825F8D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38099</xdr:colOff>
      <xdr:row>41</xdr:row>
      <xdr:rowOff>9525</xdr:rowOff>
    </xdr:from>
    <xdr:to>
      <xdr:col>6</xdr:col>
      <xdr:colOff>533400</xdr:colOff>
      <xdr:row>58</xdr:row>
      <xdr:rowOff>133350</xdr:rowOff>
    </xdr:to>
    <xdr:graphicFrame macro="">
      <xdr:nvGraphicFramePr>
        <xdr:cNvPr id="5" name="Diagramm 24">
          <a:extLst>
            <a:ext uri="{FF2B5EF4-FFF2-40B4-BE49-F238E27FC236}">
              <a16:creationId xmlns:a16="http://schemas.microsoft.com/office/drawing/2014/main" id="{A03ABFF8-1B3C-4E7E-A949-791DD95703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28575</xdr:colOff>
      <xdr:row>25</xdr:row>
      <xdr:rowOff>95249</xdr:rowOff>
    </xdr:from>
    <xdr:to>
      <xdr:col>13</xdr:col>
      <xdr:colOff>0</xdr:colOff>
      <xdr:row>39</xdr:row>
      <xdr:rowOff>152399</xdr:rowOff>
    </xdr:to>
    <xdr:graphicFrame macro="">
      <xdr:nvGraphicFramePr>
        <xdr:cNvPr id="6" name="Diagramm 24">
          <a:extLst>
            <a:ext uri="{FF2B5EF4-FFF2-40B4-BE49-F238E27FC236}">
              <a16:creationId xmlns:a16="http://schemas.microsoft.com/office/drawing/2014/main" id="{1CF73B0F-F151-4794-B100-5EB7BDFBC2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Design">
  <a:themeElements>
    <a:clrScheme name="QMH_korrigiert">
      <a:dk1>
        <a:sysClr val="windowText" lastClr="000000"/>
      </a:dk1>
      <a:lt1>
        <a:sysClr val="window" lastClr="FFFFFF"/>
      </a:lt1>
      <a:dk2>
        <a:srgbClr val="44546A"/>
      </a:dk2>
      <a:lt2>
        <a:srgbClr val="E7E6E6"/>
      </a:lt2>
      <a:accent1>
        <a:srgbClr val="DE4343"/>
      </a:accent1>
      <a:accent2>
        <a:srgbClr val="FF7701"/>
      </a:accent2>
      <a:accent3>
        <a:srgbClr val="155C7C"/>
      </a:accent3>
      <a:accent4>
        <a:srgbClr val="B9AE70"/>
      </a:accent4>
      <a:accent5>
        <a:srgbClr val="82C0D9"/>
      </a:accent5>
      <a:accent6>
        <a:srgbClr val="2D5650"/>
      </a:accent6>
      <a:hlink>
        <a:srgbClr val="0563C1"/>
      </a:hlink>
      <a:folHlink>
        <a:srgbClr val="954F72"/>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dimension ref="A1:O220"/>
  <sheetViews>
    <sheetView tabSelected="1" showWhiteSpace="0" zoomScaleNormal="100" workbookViewId="0">
      <selection activeCell="B2" sqref="B2"/>
    </sheetView>
  </sheetViews>
  <sheetFormatPr baseColWidth="10" defaultColWidth="0" defaultRowHeight="12.75" zeroHeight="1" x14ac:dyDescent="0.25"/>
  <cols>
    <col min="1" max="1" width="5.7109375" style="240" customWidth="1"/>
    <col min="2" max="2" width="79.85546875" style="258" customWidth="1"/>
    <col min="3" max="15" width="0" style="240" hidden="1" customWidth="1"/>
    <col min="16" max="16384" width="16.5703125" style="240" hidden="1"/>
  </cols>
  <sheetData>
    <row r="1" spans="1:15" s="236" customFormat="1" ht="36" x14ac:dyDescent="0.25">
      <c r="B1" s="271" t="s">
        <v>30</v>
      </c>
      <c r="H1" s="237"/>
      <c r="I1" s="237"/>
      <c r="J1" s="237"/>
      <c r="K1" s="237"/>
      <c r="L1" s="237"/>
      <c r="M1" s="237"/>
      <c r="N1" s="237"/>
      <c r="O1" s="237"/>
    </row>
    <row r="2" spans="1:15" s="236" customFormat="1" ht="12.95" customHeight="1" x14ac:dyDescent="0.25">
      <c r="B2" s="221" t="s">
        <v>31</v>
      </c>
      <c r="H2" s="237"/>
      <c r="I2" s="237"/>
      <c r="J2" s="237"/>
      <c r="K2" s="237"/>
      <c r="L2" s="237"/>
      <c r="M2" s="237"/>
      <c r="N2" s="237"/>
      <c r="O2" s="237"/>
    </row>
    <row r="3" spans="1:15" ht="12.95" customHeight="1" x14ac:dyDescent="0.25">
      <c r="A3" s="238"/>
      <c r="B3" s="239" t="s">
        <v>32</v>
      </c>
    </row>
    <row r="4" spans="1:15" ht="397.5" customHeight="1" x14ac:dyDescent="0.25">
      <c r="A4" s="241"/>
      <c r="B4" s="242" t="s">
        <v>33</v>
      </c>
    </row>
    <row r="5" spans="1:15" ht="43.9" customHeight="1" x14ac:dyDescent="0.25">
      <c r="A5" s="241"/>
      <c r="B5" s="242" t="s">
        <v>34</v>
      </c>
    </row>
    <row r="6" spans="1:15" ht="99.95" customHeight="1" x14ac:dyDescent="0.25">
      <c r="A6" s="241"/>
      <c r="B6" s="243" t="s">
        <v>35</v>
      </c>
    </row>
    <row r="7" spans="1:15" ht="46.5" customHeight="1" x14ac:dyDescent="0.25">
      <c r="A7" s="244">
        <v>100</v>
      </c>
      <c r="B7" s="242" t="s">
        <v>36</v>
      </c>
    </row>
    <row r="8" spans="1:15" ht="18.75" customHeight="1" x14ac:dyDescent="0.25">
      <c r="A8" s="244">
        <v>101</v>
      </c>
      <c r="B8" s="245" t="s">
        <v>37</v>
      </c>
    </row>
    <row r="9" spans="1:15" ht="58.5" customHeight="1" x14ac:dyDescent="0.25">
      <c r="A9" s="244">
        <v>102</v>
      </c>
      <c r="B9" s="272" t="s">
        <v>38</v>
      </c>
    </row>
    <row r="10" spans="1:15" ht="45" customHeight="1" x14ac:dyDescent="0.25">
      <c r="A10" s="244">
        <v>103</v>
      </c>
      <c r="B10" s="246" t="s">
        <v>39</v>
      </c>
    </row>
    <row r="11" spans="1:15" ht="45" customHeight="1" x14ac:dyDescent="0.25">
      <c r="A11" s="244">
        <v>104</v>
      </c>
      <c r="B11" s="247" t="s">
        <v>40</v>
      </c>
    </row>
    <row r="12" spans="1:15" ht="15" customHeight="1" x14ac:dyDescent="0.25">
      <c r="A12" s="244">
        <v>105</v>
      </c>
      <c r="B12" s="243" t="s">
        <v>41</v>
      </c>
    </row>
    <row r="13" spans="1:15" ht="15" customHeight="1" x14ac:dyDescent="0.25">
      <c r="A13" s="244">
        <v>106</v>
      </c>
      <c r="B13" s="243" t="s">
        <v>42</v>
      </c>
    </row>
    <row r="14" spans="1:15" ht="15" customHeight="1" x14ac:dyDescent="0.25">
      <c r="A14" s="244">
        <v>107</v>
      </c>
      <c r="B14" s="243" t="s">
        <v>43</v>
      </c>
    </row>
    <row r="15" spans="1:15" ht="33" customHeight="1" x14ac:dyDescent="0.25">
      <c r="A15" s="244">
        <v>108</v>
      </c>
      <c r="B15" s="242" t="s">
        <v>44</v>
      </c>
    </row>
    <row r="16" spans="1:15" ht="15" customHeight="1" x14ac:dyDescent="0.25">
      <c r="A16" s="244">
        <v>110</v>
      </c>
      <c r="B16" s="242" t="s">
        <v>45</v>
      </c>
    </row>
    <row r="17" spans="1:2" ht="30.75" customHeight="1" x14ac:dyDescent="0.25">
      <c r="A17" s="244">
        <v>111</v>
      </c>
      <c r="B17" s="243" t="s">
        <v>46</v>
      </c>
    </row>
    <row r="18" spans="1:2" ht="43.5" customHeight="1" x14ac:dyDescent="0.25">
      <c r="A18" s="248">
        <v>112</v>
      </c>
      <c r="B18" s="243" t="s">
        <v>47</v>
      </c>
    </row>
    <row r="19" spans="1:2" ht="59.25" customHeight="1" x14ac:dyDescent="0.25">
      <c r="A19" s="249">
        <v>113</v>
      </c>
      <c r="B19" s="243" t="s">
        <v>48</v>
      </c>
    </row>
    <row r="20" spans="1:2" ht="15" customHeight="1" x14ac:dyDescent="0.25">
      <c r="A20" s="248">
        <v>114</v>
      </c>
      <c r="B20" s="243" t="s">
        <v>49</v>
      </c>
    </row>
    <row r="21" spans="1:2" ht="42" customHeight="1" x14ac:dyDescent="0.25">
      <c r="A21" s="248">
        <v>115</v>
      </c>
      <c r="B21" s="243" t="s">
        <v>50</v>
      </c>
    </row>
    <row r="22" spans="1:2" ht="30" customHeight="1" x14ac:dyDescent="0.25">
      <c r="A22" s="244">
        <v>120</v>
      </c>
      <c r="B22" s="242" t="s">
        <v>51</v>
      </c>
    </row>
    <row r="23" spans="1:2" ht="29.25" customHeight="1" x14ac:dyDescent="0.25">
      <c r="A23" s="244">
        <v>121</v>
      </c>
      <c r="B23" s="243" t="s">
        <v>52</v>
      </c>
    </row>
    <row r="24" spans="1:2" ht="42.75" customHeight="1" x14ac:dyDescent="0.25">
      <c r="A24" s="244">
        <v>122</v>
      </c>
      <c r="B24" s="243" t="s">
        <v>53</v>
      </c>
    </row>
    <row r="25" spans="1:2" ht="29.25" customHeight="1" x14ac:dyDescent="0.25">
      <c r="A25" s="244">
        <v>123</v>
      </c>
      <c r="B25" s="243" t="s">
        <v>54</v>
      </c>
    </row>
    <row r="26" spans="1:2" ht="40.5" customHeight="1" x14ac:dyDescent="0.25">
      <c r="A26" s="248">
        <v>124</v>
      </c>
      <c r="B26" s="243" t="s">
        <v>55</v>
      </c>
    </row>
    <row r="27" spans="1:2" ht="54" customHeight="1" x14ac:dyDescent="0.25">
      <c r="A27" s="244">
        <v>125</v>
      </c>
      <c r="B27" s="243" t="s">
        <v>56</v>
      </c>
    </row>
    <row r="28" spans="1:2" ht="54.75" customHeight="1" x14ac:dyDescent="0.25">
      <c r="A28" s="248">
        <v>126</v>
      </c>
      <c r="B28" s="243" t="s">
        <v>57</v>
      </c>
    </row>
    <row r="29" spans="1:2" ht="27.75" customHeight="1" x14ac:dyDescent="0.25">
      <c r="A29" s="244">
        <v>127</v>
      </c>
      <c r="B29" s="243" t="s">
        <v>58</v>
      </c>
    </row>
    <row r="30" spans="1:2" ht="27.75" customHeight="1" x14ac:dyDescent="0.25">
      <c r="A30" s="248">
        <v>130</v>
      </c>
      <c r="B30" s="242" t="s">
        <v>59</v>
      </c>
    </row>
    <row r="31" spans="1:2" ht="31.5" customHeight="1" x14ac:dyDescent="0.25">
      <c r="A31" s="248">
        <v>131</v>
      </c>
      <c r="B31" s="243" t="s">
        <v>60</v>
      </c>
    </row>
    <row r="32" spans="1:2" ht="30" customHeight="1" x14ac:dyDescent="0.25">
      <c r="A32" s="244">
        <v>132</v>
      </c>
      <c r="B32" s="243" t="s">
        <v>61</v>
      </c>
    </row>
    <row r="33" spans="1:2" ht="15" customHeight="1" x14ac:dyDescent="0.25">
      <c r="A33" s="244">
        <v>135</v>
      </c>
      <c r="B33" s="243" t="s">
        <v>62</v>
      </c>
    </row>
    <row r="34" spans="1:2" ht="54.75" customHeight="1" x14ac:dyDescent="0.25">
      <c r="A34" s="244">
        <v>136</v>
      </c>
      <c r="B34" s="243" t="s">
        <v>63</v>
      </c>
    </row>
    <row r="35" spans="1:2" ht="41.25" customHeight="1" x14ac:dyDescent="0.25">
      <c r="A35" s="244">
        <v>137</v>
      </c>
      <c r="B35" s="243" t="s">
        <v>64</v>
      </c>
    </row>
    <row r="36" spans="1:2" ht="30" customHeight="1" x14ac:dyDescent="0.25">
      <c r="A36" s="244">
        <v>138</v>
      </c>
      <c r="B36" s="243" t="s">
        <v>65</v>
      </c>
    </row>
    <row r="37" spans="1:2" ht="25.5" x14ac:dyDescent="0.25">
      <c r="A37" s="244">
        <v>139</v>
      </c>
      <c r="B37" s="243" t="s">
        <v>66</v>
      </c>
    </row>
    <row r="38" spans="1:2" ht="21" customHeight="1" x14ac:dyDescent="0.25">
      <c r="A38" s="244">
        <v>140</v>
      </c>
      <c r="B38" s="242" t="s">
        <v>67</v>
      </c>
    </row>
    <row r="39" spans="1:2" ht="21.75" customHeight="1" x14ac:dyDescent="0.25">
      <c r="A39" s="244">
        <v>141</v>
      </c>
      <c r="B39" s="243" t="s">
        <v>68</v>
      </c>
    </row>
    <row r="40" spans="1:2" ht="30" customHeight="1" x14ac:dyDescent="0.25">
      <c r="A40" s="248">
        <v>142</v>
      </c>
      <c r="B40" s="243" t="s">
        <v>69</v>
      </c>
    </row>
    <row r="41" spans="1:2" ht="18" customHeight="1" x14ac:dyDescent="0.25">
      <c r="A41" s="248">
        <v>143</v>
      </c>
      <c r="B41" s="243" t="s">
        <v>70</v>
      </c>
    </row>
    <row r="42" spans="1:2" ht="18" customHeight="1" x14ac:dyDescent="0.25">
      <c r="A42" s="248">
        <v>150</v>
      </c>
      <c r="B42" s="242" t="s">
        <v>71</v>
      </c>
    </row>
    <row r="43" spans="1:2" ht="18" customHeight="1" x14ac:dyDescent="0.25">
      <c r="A43" s="244">
        <v>151</v>
      </c>
      <c r="B43" s="243" t="s">
        <v>72</v>
      </c>
    </row>
    <row r="44" spans="1:2" ht="18" customHeight="1" x14ac:dyDescent="0.25">
      <c r="A44" s="244">
        <v>152</v>
      </c>
      <c r="B44" s="243" t="s">
        <v>73</v>
      </c>
    </row>
    <row r="45" spans="1:2" ht="30" customHeight="1" x14ac:dyDescent="0.25">
      <c r="A45" s="244">
        <v>153</v>
      </c>
      <c r="B45" s="243" t="s">
        <v>74</v>
      </c>
    </row>
    <row r="46" spans="1:2" ht="18" customHeight="1" x14ac:dyDescent="0.25">
      <c r="A46" s="244">
        <v>154</v>
      </c>
      <c r="B46" s="243" t="s">
        <v>75</v>
      </c>
    </row>
    <row r="47" spans="1:2" ht="18" customHeight="1" x14ac:dyDescent="0.25">
      <c r="A47" s="244">
        <v>155</v>
      </c>
      <c r="B47" s="243" t="s">
        <v>76</v>
      </c>
    </row>
    <row r="48" spans="1:2" ht="45" customHeight="1" x14ac:dyDescent="0.25">
      <c r="A48" s="244">
        <v>156</v>
      </c>
      <c r="B48" s="243" t="s">
        <v>77</v>
      </c>
    </row>
    <row r="49" spans="1:2" ht="69.95" customHeight="1" x14ac:dyDescent="0.25">
      <c r="A49" s="244">
        <v>157</v>
      </c>
      <c r="B49" s="243" t="s">
        <v>78</v>
      </c>
    </row>
    <row r="50" spans="1:2" ht="30" customHeight="1" x14ac:dyDescent="0.25">
      <c r="A50" s="244">
        <v>158</v>
      </c>
      <c r="B50" s="243" t="s">
        <v>79</v>
      </c>
    </row>
    <row r="51" spans="1:2" ht="17.25" customHeight="1" x14ac:dyDescent="0.25">
      <c r="A51" s="244">
        <v>159</v>
      </c>
      <c r="B51" s="243" t="s">
        <v>80</v>
      </c>
    </row>
    <row r="52" spans="1:2" ht="54.95" customHeight="1" x14ac:dyDescent="0.25">
      <c r="A52" s="244">
        <v>160</v>
      </c>
      <c r="B52" s="243" t="s">
        <v>81</v>
      </c>
    </row>
    <row r="53" spans="1:2" ht="57" customHeight="1" x14ac:dyDescent="0.25">
      <c r="A53" s="244">
        <v>161</v>
      </c>
      <c r="B53" s="243" t="s">
        <v>82</v>
      </c>
    </row>
    <row r="54" spans="1:2" ht="54.95" customHeight="1" x14ac:dyDescent="0.25">
      <c r="A54" s="244">
        <v>162</v>
      </c>
      <c r="B54" s="243" t="s">
        <v>83</v>
      </c>
    </row>
    <row r="55" spans="1:2" ht="54.95" customHeight="1" x14ac:dyDescent="0.25">
      <c r="A55" s="244">
        <v>163</v>
      </c>
      <c r="B55" s="243" t="s">
        <v>84</v>
      </c>
    </row>
    <row r="56" spans="1:2" ht="30" customHeight="1" x14ac:dyDescent="0.25">
      <c r="A56" s="244">
        <v>165</v>
      </c>
      <c r="B56" s="243" t="s">
        <v>85</v>
      </c>
    </row>
    <row r="57" spans="1:2" ht="19.5" customHeight="1" x14ac:dyDescent="0.25">
      <c r="A57" s="244">
        <v>166</v>
      </c>
      <c r="B57" s="243" t="s">
        <v>86</v>
      </c>
    </row>
    <row r="58" spans="1:2" ht="105.75" customHeight="1" x14ac:dyDescent="0.25">
      <c r="A58" s="244">
        <v>167</v>
      </c>
      <c r="B58" s="243" t="s">
        <v>87</v>
      </c>
    </row>
    <row r="59" spans="1:2" ht="30.75" customHeight="1" x14ac:dyDescent="0.25">
      <c r="A59" s="244">
        <v>168</v>
      </c>
      <c r="B59" s="243" t="s">
        <v>88</v>
      </c>
    </row>
    <row r="60" spans="1:2" ht="31.5" customHeight="1" x14ac:dyDescent="0.25">
      <c r="A60" s="244">
        <v>169</v>
      </c>
      <c r="B60" s="243" t="s">
        <v>89</v>
      </c>
    </row>
    <row r="61" spans="1:2" s="250" customFormat="1" ht="17.100000000000001" customHeight="1" x14ac:dyDescent="0.25">
      <c r="A61" s="244">
        <v>170</v>
      </c>
      <c r="B61" s="242" t="s">
        <v>90</v>
      </c>
    </row>
    <row r="62" spans="1:2" ht="42.75" customHeight="1" x14ac:dyDescent="0.25">
      <c r="A62" s="244">
        <v>171</v>
      </c>
      <c r="B62" s="243" t="s">
        <v>91</v>
      </c>
    </row>
    <row r="63" spans="1:2" ht="17.100000000000001" customHeight="1" x14ac:dyDescent="0.25">
      <c r="A63" s="244">
        <v>172</v>
      </c>
      <c r="B63" s="243" t="s">
        <v>92</v>
      </c>
    </row>
    <row r="64" spans="1:2" ht="54.75" customHeight="1" x14ac:dyDescent="0.25">
      <c r="A64" s="244">
        <v>173</v>
      </c>
      <c r="B64" s="243" t="s">
        <v>93</v>
      </c>
    </row>
    <row r="65" spans="1:2" ht="17.100000000000001" customHeight="1" x14ac:dyDescent="0.25">
      <c r="A65" s="244">
        <v>174</v>
      </c>
      <c r="B65" s="243" t="s">
        <v>94</v>
      </c>
    </row>
    <row r="66" spans="1:2" ht="17.100000000000001" customHeight="1" x14ac:dyDescent="0.25">
      <c r="A66" s="244">
        <v>175</v>
      </c>
      <c r="B66" s="243" t="s">
        <v>95</v>
      </c>
    </row>
    <row r="67" spans="1:2" ht="30" customHeight="1" x14ac:dyDescent="0.25">
      <c r="A67" s="244">
        <v>176</v>
      </c>
      <c r="B67" s="243" t="s">
        <v>96</v>
      </c>
    </row>
    <row r="68" spans="1:2" ht="17.100000000000001" customHeight="1" x14ac:dyDescent="0.25">
      <c r="A68" s="244">
        <v>177</v>
      </c>
      <c r="B68" s="243" t="s">
        <v>97</v>
      </c>
    </row>
    <row r="69" spans="1:2" ht="17.100000000000001" customHeight="1" x14ac:dyDescent="0.25">
      <c r="A69" s="244">
        <v>178</v>
      </c>
      <c r="B69" s="243" t="s">
        <v>98</v>
      </c>
    </row>
    <row r="70" spans="1:2" ht="45" customHeight="1" x14ac:dyDescent="0.25">
      <c r="A70" s="244">
        <v>179</v>
      </c>
      <c r="B70" s="243" t="s">
        <v>99</v>
      </c>
    </row>
    <row r="71" spans="1:2" ht="42" customHeight="1" x14ac:dyDescent="0.25">
      <c r="A71" s="244">
        <v>180</v>
      </c>
      <c r="B71" s="243" t="s">
        <v>100</v>
      </c>
    </row>
    <row r="72" spans="1:2" ht="30" customHeight="1" x14ac:dyDescent="0.25">
      <c r="A72" s="244">
        <v>181</v>
      </c>
      <c r="B72" s="243" t="s">
        <v>101</v>
      </c>
    </row>
    <row r="73" spans="1:2" ht="32.25" customHeight="1" x14ac:dyDescent="0.25">
      <c r="A73" s="244">
        <v>182</v>
      </c>
      <c r="B73" s="243" t="s">
        <v>102</v>
      </c>
    </row>
    <row r="74" spans="1:2" ht="30" customHeight="1" x14ac:dyDescent="0.25">
      <c r="A74" s="244">
        <v>183</v>
      </c>
      <c r="B74" s="243" t="s">
        <v>103</v>
      </c>
    </row>
    <row r="75" spans="1:2" ht="30" customHeight="1" x14ac:dyDescent="0.25">
      <c r="A75" s="244">
        <v>184</v>
      </c>
      <c r="B75" s="243" t="s">
        <v>104</v>
      </c>
    </row>
    <row r="76" spans="1:2" ht="30" customHeight="1" x14ac:dyDescent="0.25">
      <c r="A76" s="244">
        <v>185</v>
      </c>
      <c r="B76" s="243" t="s">
        <v>105</v>
      </c>
    </row>
    <row r="77" spans="1:2" ht="41.25" customHeight="1" x14ac:dyDescent="0.25">
      <c r="A77" s="244">
        <v>186</v>
      </c>
      <c r="B77" s="243" t="s">
        <v>106</v>
      </c>
    </row>
    <row r="78" spans="1:2" ht="30" customHeight="1" x14ac:dyDescent="0.25">
      <c r="A78" s="244">
        <v>187</v>
      </c>
      <c r="B78" s="243" t="s">
        <v>107</v>
      </c>
    </row>
    <row r="79" spans="1:2" ht="28.5" customHeight="1" x14ac:dyDescent="0.25">
      <c r="A79" s="244">
        <v>190</v>
      </c>
      <c r="B79" s="243" t="s">
        <v>108</v>
      </c>
    </row>
    <row r="80" spans="1:2" ht="30" customHeight="1" x14ac:dyDescent="0.25">
      <c r="A80" s="244">
        <v>191</v>
      </c>
      <c r="B80" s="243" t="s">
        <v>109</v>
      </c>
    </row>
    <row r="81" spans="1:2" ht="42" customHeight="1" x14ac:dyDescent="0.25">
      <c r="A81" s="244">
        <v>192</v>
      </c>
      <c r="B81" s="243" t="s">
        <v>110</v>
      </c>
    </row>
    <row r="82" spans="1:2" ht="42.75" customHeight="1" x14ac:dyDescent="0.25">
      <c r="A82" s="244">
        <v>193</v>
      </c>
      <c r="B82" s="243" t="s">
        <v>110</v>
      </c>
    </row>
    <row r="83" spans="1:2" ht="56.25" customHeight="1" x14ac:dyDescent="0.25">
      <c r="A83" s="244">
        <v>194</v>
      </c>
      <c r="B83" s="243" t="s">
        <v>111</v>
      </c>
    </row>
    <row r="84" spans="1:2" ht="67.5" customHeight="1" x14ac:dyDescent="0.25">
      <c r="A84" s="244">
        <v>195</v>
      </c>
      <c r="B84" s="243" t="s">
        <v>112</v>
      </c>
    </row>
    <row r="85" spans="1:2" ht="66.75" customHeight="1" x14ac:dyDescent="0.25">
      <c r="A85" s="244">
        <v>196</v>
      </c>
      <c r="B85" s="243" t="s">
        <v>113</v>
      </c>
    </row>
    <row r="86" spans="1:2" ht="30" customHeight="1" x14ac:dyDescent="0.25">
      <c r="A86" s="244">
        <v>197</v>
      </c>
      <c r="B86" s="243" t="s">
        <v>114</v>
      </c>
    </row>
    <row r="87" spans="1:2" ht="31.5" customHeight="1" x14ac:dyDescent="0.25">
      <c r="A87" s="244">
        <v>198</v>
      </c>
      <c r="B87" s="243" t="s">
        <v>115</v>
      </c>
    </row>
    <row r="88" spans="1:2" ht="31.9" customHeight="1" x14ac:dyDescent="0.25">
      <c r="A88" s="244">
        <v>199</v>
      </c>
      <c r="B88" s="243" t="s">
        <v>116</v>
      </c>
    </row>
    <row r="89" spans="1:2" ht="15" customHeight="1" x14ac:dyDescent="0.25">
      <c r="A89" s="244"/>
      <c r="B89" s="243"/>
    </row>
    <row r="90" spans="1:2" ht="30" customHeight="1" x14ac:dyDescent="0.25">
      <c r="A90" s="244">
        <v>200</v>
      </c>
      <c r="B90" s="242" t="s">
        <v>117</v>
      </c>
    </row>
    <row r="91" spans="1:2" ht="17.100000000000001" customHeight="1" x14ac:dyDescent="0.25">
      <c r="A91" s="244">
        <v>206</v>
      </c>
      <c r="B91" s="243" t="s">
        <v>118</v>
      </c>
    </row>
    <row r="92" spans="1:2" ht="17.100000000000001" customHeight="1" x14ac:dyDescent="0.25">
      <c r="A92" s="244">
        <v>207</v>
      </c>
      <c r="B92" s="243" t="s">
        <v>119</v>
      </c>
    </row>
    <row r="93" spans="1:2" ht="18.75" customHeight="1" x14ac:dyDescent="0.25">
      <c r="A93" s="244">
        <v>210</v>
      </c>
      <c r="B93" s="242" t="s">
        <v>120</v>
      </c>
    </row>
    <row r="94" spans="1:2" ht="54.95" customHeight="1" x14ac:dyDescent="0.25">
      <c r="A94" s="244">
        <v>211</v>
      </c>
      <c r="B94" s="243" t="s">
        <v>121</v>
      </c>
    </row>
    <row r="95" spans="1:2" ht="69.95" customHeight="1" x14ac:dyDescent="0.25">
      <c r="A95" s="244">
        <v>212</v>
      </c>
      <c r="B95" s="243" t="s">
        <v>122</v>
      </c>
    </row>
    <row r="96" spans="1:2" ht="29.25" customHeight="1" x14ac:dyDescent="0.25">
      <c r="A96" s="244">
        <v>213</v>
      </c>
      <c r="B96" s="243" t="s">
        <v>123</v>
      </c>
    </row>
    <row r="97" spans="1:2" ht="80.099999999999994" customHeight="1" x14ac:dyDescent="0.25">
      <c r="A97" s="244">
        <v>214</v>
      </c>
      <c r="B97" s="243" t="s">
        <v>124</v>
      </c>
    </row>
    <row r="98" spans="1:2" ht="54.95" customHeight="1" x14ac:dyDescent="0.25">
      <c r="A98" s="251" t="s">
        <v>23</v>
      </c>
      <c r="B98" s="243" t="s">
        <v>125</v>
      </c>
    </row>
    <row r="99" spans="1:2" ht="54.95" customHeight="1" x14ac:dyDescent="0.25">
      <c r="A99" s="251" t="s">
        <v>24</v>
      </c>
      <c r="B99" s="243" t="s">
        <v>126</v>
      </c>
    </row>
    <row r="100" spans="1:2" ht="65.25" customHeight="1" x14ac:dyDescent="0.25">
      <c r="A100" s="251" t="s">
        <v>25</v>
      </c>
      <c r="B100" s="243" t="s">
        <v>127</v>
      </c>
    </row>
    <row r="101" spans="1:2" ht="15" customHeight="1" x14ac:dyDescent="0.25">
      <c r="A101" s="251"/>
      <c r="B101" s="243"/>
    </row>
    <row r="102" spans="1:2" ht="30" customHeight="1" x14ac:dyDescent="0.25">
      <c r="A102" s="248">
        <v>300</v>
      </c>
      <c r="B102" s="242" t="s">
        <v>128</v>
      </c>
    </row>
    <row r="103" spans="1:2" ht="135" customHeight="1" x14ac:dyDescent="0.25">
      <c r="A103" s="248">
        <v>310</v>
      </c>
      <c r="B103" s="243" t="s">
        <v>129</v>
      </c>
    </row>
    <row r="104" spans="1:2" ht="29.25" customHeight="1" x14ac:dyDescent="0.25">
      <c r="A104" s="248">
        <v>311</v>
      </c>
      <c r="B104" s="243" t="s">
        <v>130</v>
      </c>
    </row>
    <row r="105" spans="1:2" ht="45" customHeight="1" x14ac:dyDescent="0.25">
      <c r="A105" s="248">
        <v>312</v>
      </c>
      <c r="B105" s="243" t="s">
        <v>131</v>
      </c>
    </row>
    <row r="106" spans="1:2" ht="54.95" customHeight="1" x14ac:dyDescent="0.25">
      <c r="A106" s="248">
        <v>320</v>
      </c>
      <c r="B106" s="243" t="s">
        <v>132</v>
      </c>
    </row>
    <row r="107" spans="1:2" ht="54.95" customHeight="1" x14ac:dyDescent="0.25">
      <c r="A107" s="248">
        <v>321</v>
      </c>
      <c r="B107" s="243" t="s">
        <v>133</v>
      </c>
    </row>
    <row r="108" spans="1:2" ht="69.95" customHeight="1" x14ac:dyDescent="0.25">
      <c r="A108" s="248">
        <v>322</v>
      </c>
      <c r="B108" s="243" t="s">
        <v>134</v>
      </c>
    </row>
    <row r="109" spans="1:2" ht="29.25" customHeight="1" x14ac:dyDescent="0.25">
      <c r="A109" s="248">
        <v>323</v>
      </c>
      <c r="B109" s="243" t="s">
        <v>135</v>
      </c>
    </row>
    <row r="110" spans="1:2" ht="30" customHeight="1" x14ac:dyDescent="0.25">
      <c r="A110" s="248">
        <v>324</v>
      </c>
      <c r="B110" s="243" t="s">
        <v>136</v>
      </c>
    </row>
    <row r="111" spans="1:2" ht="45" customHeight="1" x14ac:dyDescent="0.25">
      <c r="A111" s="248">
        <v>325</v>
      </c>
      <c r="B111" s="243" t="s">
        <v>137</v>
      </c>
    </row>
    <row r="112" spans="1:2" ht="45" customHeight="1" x14ac:dyDescent="0.25">
      <c r="A112" s="248">
        <v>330</v>
      </c>
      <c r="B112" s="243" t="s">
        <v>138</v>
      </c>
    </row>
    <row r="113" spans="1:2" ht="30" customHeight="1" x14ac:dyDescent="0.25">
      <c r="A113" s="248">
        <v>331</v>
      </c>
      <c r="B113" s="243" t="s">
        <v>139</v>
      </c>
    </row>
    <row r="114" spans="1:2" ht="30" customHeight="1" x14ac:dyDescent="0.25">
      <c r="A114" s="248">
        <v>332</v>
      </c>
      <c r="B114" s="243" t="s">
        <v>140</v>
      </c>
    </row>
    <row r="115" spans="1:2" ht="30" customHeight="1" x14ac:dyDescent="0.25">
      <c r="A115" s="248">
        <v>333</v>
      </c>
      <c r="B115" s="243" t="s">
        <v>141</v>
      </c>
    </row>
    <row r="116" spans="1:2" ht="29.25" customHeight="1" x14ac:dyDescent="0.25">
      <c r="A116" s="248">
        <v>334</v>
      </c>
      <c r="B116" s="243" t="s">
        <v>142</v>
      </c>
    </row>
    <row r="117" spans="1:2" ht="30" customHeight="1" x14ac:dyDescent="0.25">
      <c r="A117" s="248">
        <v>335</v>
      </c>
      <c r="B117" s="243" t="s">
        <v>143</v>
      </c>
    </row>
    <row r="118" spans="1:2" ht="15" customHeight="1" x14ac:dyDescent="0.25">
      <c r="A118" s="251"/>
      <c r="B118" s="243"/>
    </row>
    <row r="119" spans="1:2" ht="105" customHeight="1" x14ac:dyDescent="0.25">
      <c r="A119" s="244">
        <v>500</v>
      </c>
      <c r="B119" s="243" t="s">
        <v>193</v>
      </c>
    </row>
    <row r="120" spans="1:2" ht="30" customHeight="1" x14ac:dyDescent="0.25">
      <c r="A120" s="244">
        <v>501</v>
      </c>
      <c r="B120" s="243" t="s">
        <v>144</v>
      </c>
    </row>
    <row r="121" spans="1:2" ht="80.099999999999994" customHeight="1" x14ac:dyDescent="0.25">
      <c r="A121" s="244">
        <v>505</v>
      </c>
      <c r="B121" s="243" t="s">
        <v>145</v>
      </c>
    </row>
    <row r="122" spans="1:2" ht="30" customHeight="1" x14ac:dyDescent="0.25">
      <c r="A122" s="244">
        <v>510</v>
      </c>
      <c r="B122" s="243" t="s">
        <v>146</v>
      </c>
    </row>
    <row r="123" spans="1:2" ht="31.5" customHeight="1" x14ac:dyDescent="0.25">
      <c r="A123" s="244">
        <v>511</v>
      </c>
      <c r="B123" s="243" t="s">
        <v>147</v>
      </c>
    </row>
    <row r="124" spans="1:2" ht="18" customHeight="1" x14ac:dyDescent="0.25">
      <c r="A124" s="244">
        <v>512</v>
      </c>
      <c r="B124" s="243" t="s">
        <v>148</v>
      </c>
    </row>
    <row r="125" spans="1:2" ht="18" customHeight="1" x14ac:dyDescent="0.25">
      <c r="A125" s="244">
        <v>513</v>
      </c>
      <c r="B125" s="243" t="s">
        <v>149</v>
      </c>
    </row>
    <row r="126" spans="1:2" ht="18" customHeight="1" x14ac:dyDescent="0.25">
      <c r="A126" s="244">
        <v>514</v>
      </c>
      <c r="B126" s="243" t="s">
        <v>150</v>
      </c>
    </row>
    <row r="127" spans="1:2" ht="18" customHeight="1" x14ac:dyDescent="0.25">
      <c r="A127" s="244">
        <v>515</v>
      </c>
      <c r="B127" s="243" t="s">
        <v>151</v>
      </c>
    </row>
    <row r="128" spans="1:2" ht="18" customHeight="1" x14ac:dyDescent="0.25">
      <c r="A128" s="244">
        <v>516</v>
      </c>
      <c r="B128" s="243" t="s">
        <v>152</v>
      </c>
    </row>
    <row r="129" spans="1:2" ht="18" customHeight="1" x14ac:dyDescent="0.25">
      <c r="A129" s="244">
        <v>517</v>
      </c>
      <c r="B129" s="243" t="s">
        <v>153</v>
      </c>
    </row>
    <row r="130" spans="1:2" ht="18" customHeight="1" x14ac:dyDescent="0.25">
      <c r="A130" s="244">
        <v>518</v>
      </c>
      <c r="B130" s="243" t="s">
        <v>154</v>
      </c>
    </row>
    <row r="131" spans="1:2" ht="18" customHeight="1" x14ac:dyDescent="0.25">
      <c r="A131" s="244">
        <v>519</v>
      </c>
      <c r="B131" s="243" t="s">
        <v>155</v>
      </c>
    </row>
    <row r="132" spans="1:2" ht="45" customHeight="1" x14ac:dyDescent="0.25">
      <c r="A132" s="244">
        <v>520</v>
      </c>
      <c r="B132" s="243" t="s">
        <v>156</v>
      </c>
    </row>
    <row r="133" spans="1:2" ht="45" customHeight="1" x14ac:dyDescent="0.25">
      <c r="A133" s="244">
        <v>530</v>
      </c>
      <c r="B133" s="243" t="s">
        <v>157</v>
      </c>
    </row>
    <row r="134" spans="1:2" ht="18" customHeight="1" x14ac:dyDescent="0.25">
      <c r="A134" s="244">
        <v>531</v>
      </c>
      <c r="B134" s="243" t="s">
        <v>158</v>
      </c>
    </row>
    <row r="135" spans="1:2" ht="67.5" customHeight="1" x14ac:dyDescent="0.25">
      <c r="A135" s="244">
        <v>550</v>
      </c>
      <c r="B135" s="243" t="s">
        <v>159</v>
      </c>
    </row>
    <row r="136" spans="1:2" ht="18" customHeight="1" x14ac:dyDescent="0.25">
      <c r="A136" s="244">
        <v>551</v>
      </c>
      <c r="B136" s="243" t="s">
        <v>160</v>
      </c>
    </row>
    <row r="137" spans="1:2" ht="30" customHeight="1" x14ac:dyDescent="0.25">
      <c r="A137" s="244">
        <v>552</v>
      </c>
      <c r="B137" s="243" t="s">
        <v>161</v>
      </c>
    </row>
    <row r="138" spans="1:2" ht="18" customHeight="1" x14ac:dyDescent="0.25">
      <c r="A138" s="244">
        <v>553</v>
      </c>
      <c r="B138" s="243" t="s">
        <v>162</v>
      </c>
    </row>
    <row r="139" spans="1:2" ht="18" customHeight="1" x14ac:dyDescent="0.25">
      <c r="A139" s="244">
        <v>554</v>
      </c>
      <c r="B139" s="243" t="s">
        <v>163</v>
      </c>
    </row>
    <row r="140" spans="1:2" ht="18" customHeight="1" x14ac:dyDescent="0.25">
      <c r="A140" s="244">
        <v>555</v>
      </c>
      <c r="B140" s="243" t="s">
        <v>164</v>
      </c>
    </row>
    <row r="141" spans="1:2" ht="18" customHeight="1" x14ac:dyDescent="0.25">
      <c r="A141" s="244">
        <v>556</v>
      </c>
      <c r="B141" s="243" t="s">
        <v>165</v>
      </c>
    </row>
    <row r="142" spans="1:2" ht="30" customHeight="1" x14ac:dyDescent="0.25">
      <c r="A142" s="244">
        <v>557</v>
      </c>
      <c r="B142" s="243" t="s">
        <v>166</v>
      </c>
    </row>
    <row r="143" spans="1:2" ht="95.1" customHeight="1" x14ac:dyDescent="0.25">
      <c r="A143" s="244">
        <v>558</v>
      </c>
      <c r="B143" s="243" t="s">
        <v>167</v>
      </c>
    </row>
    <row r="144" spans="1:2" ht="30" customHeight="1" x14ac:dyDescent="0.25">
      <c r="A144" s="244">
        <v>559</v>
      </c>
      <c r="B144" s="243" t="s">
        <v>168</v>
      </c>
    </row>
    <row r="145" spans="1:2" ht="81.75" customHeight="1" x14ac:dyDescent="0.25">
      <c r="A145" s="248">
        <v>560</v>
      </c>
      <c r="B145" s="243" t="s">
        <v>169</v>
      </c>
    </row>
    <row r="146" spans="1:2" ht="81" customHeight="1" x14ac:dyDescent="0.25">
      <c r="A146" s="248">
        <v>561</v>
      </c>
      <c r="B146" s="243" t="s">
        <v>170</v>
      </c>
    </row>
    <row r="147" spans="1:2" ht="30" customHeight="1" x14ac:dyDescent="0.25">
      <c r="A147" s="248">
        <v>562</v>
      </c>
      <c r="B147" s="243" t="s">
        <v>171</v>
      </c>
    </row>
    <row r="148" spans="1:2" ht="30" customHeight="1" x14ac:dyDescent="0.25">
      <c r="A148" s="249">
        <v>563</v>
      </c>
      <c r="B148" s="243" t="s">
        <v>172</v>
      </c>
    </row>
    <row r="149" spans="1:2" ht="18" customHeight="1" x14ac:dyDescent="0.25">
      <c r="A149" s="244">
        <v>564</v>
      </c>
      <c r="B149" s="242" t="s">
        <v>173</v>
      </c>
    </row>
    <row r="150" spans="1:2" ht="18" customHeight="1" x14ac:dyDescent="0.25">
      <c r="A150" s="244">
        <v>571</v>
      </c>
      <c r="B150" s="243" t="s">
        <v>174</v>
      </c>
    </row>
    <row r="151" spans="1:2" ht="18" customHeight="1" x14ac:dyDescent="0.25">
      <c r="A151" s="244">
        <v>572</v>
      </c>
      <c r="B151" s="243" t="s">
        <v>175</v>
      </c>
    </row>
    <row r="152" spans="1:2" s="252" customFormat="1" ht="45" customHeight="1" x14ac:dyDescent="0.25">
      <c r="A152" s="244">
        <v>573</v>
      </c>
      <c r="B152" s="243" t="s">
        <v>176</v>
      </c>
    </row>
    <row r="153" spans="1:2" ht="57" customHeight="1" x14ac:dyDescent="0.25">
      <c r="A153" s="244">
        <v>574</v>
      </c>
      <c r="B153" s="243" t="s">
        <v>177</v>
      </c>
    </row>
    <row r="154" spans="1:2" ht="84.95" customHeight="1" x14ac:dyDescent="0.25">
      <c r="A154" s="244">
        <v>575</v>
      </c>
      <c r="B154" s="243" t="s">
        <v>178</v>
      </c>
    </row>
    <row r="155" spans="1:2" ht="18" customHeight="1" x14ac:dyDescent="0.25">
      <c r="A155" s="244">
        <v>576</v>
      </c>
      <c r="B155" s="242" t="s">
        <v>179</v>
      </c>
    </row>
    <row r="156" spans="1:2" ht="18" customHeight="1" x14ac:dyDescent="0.25">
      <c r="A156" s="244">
        <v>577</v>
      </c>
      <c r="B156" s="243" t="s">
        <v>180</v>
      </c>
    </row>
    <row r="157" spans="1:2" ht="18" customHeight="1" x14ac:dyDescent="0.25">
      <c r="A157" s="244">
        <v>578</v>
      </c>
      <c r="B157" s="243" t="s">
        <v>181</v>
      </c>
    </row>
    <row r="158" spans="1:2" ht="71.25" customHeight="1" x14ac:dyDescent="0.25">
      <c r="A158" s="244">
        <v>580</v>
      </c>
      <c r="B158" s="243" t="s">
        <v>182</v>
      </c>
    </row>
    <row r="159" spans="1:2" ht="18" customHeight="1" x14ac:dyDescent="0.25">
      <c r="A159" s="244">
        <v>581</v>
      </c>
      <c r="B159" s="243" t="s">
        <v>183</v>
      </c>
    </row>
    <row r="160" spans="1:2" ht="30" customHeight="1" x14ac:dyDescent="0.25">
      <c r="A160" s="244">
        <v>582</v>
      </c>
      <c r="B160" s="243" t="s">
        <v>184</v>
      </c>
    </row>
    <row r="161" spans="1:2" ht="56.25" customHeight="1" x14ac:dyDescent="0.25">
      <c r="A161" s="244">
        <v>583</v>
      </c>
      <c r="B161" s="243" t="s">
        <v>185</v>
      </c>
    </row>
    <row r="162" spans="1:2" ht="18" customHeight="1" x14ac:dyDescent="0.25">
      <c r="A162" s="244">
        <v>584</v>
      </c>
      <c r="B162" s="243" t="s">
        <v>186</v>
      </c>
    </row>
    <row r="163" spans="1:2" ht="30" customHeight="1" x14ac:dyDescent="0.25">
      <c r="A163" s="244">
        <v>586</v>
      </c>
      <c r="B163" s="243" t="s">
        <v>187</v>
      </c>
    </row>
    <row r="164" spans="1:2" ht="54.95" customHeight="1" x14ac:dyDescent="0.25">
      <c r="A164" s="244">
        <v>587</v>
      </c>
      <c r="B164" s="243" t="s">
        <v>188</v>
      </c>
    </row>
    <row r="165" spans="1:2" ht="53.25" customHeight="1" x14ac:dyDescent="0.25">
      <c r="A165" s="244">
        <v>588</v>
      </c>
      <c r="B165" s="243" t="s">
        <v>189</v>
      </c>
    </row>
    <row r="166" spans="1:2" s="252" customFormat="1" ht="29.25" customHeight="1" x14ac:dyDescent="0.25">
      <c r="A166" s="244">
        <v>589</v>
      </c>
      <c r="B166" s="243" t="s">
        <v>190</v>
      </c>
    </row>
    <row r="167" spans="1:2" ht="18" customHeight="1" x14ac:dyDescent="0.25">
      <c r="A167" s="244">
        <v>590</v>
      </c>
      <c r="B167" s="243" t="s">
        <v>191</v>
      </c>
    </row>
    <row r="168" spans="1:2" ht="54" customHeight="1" x14ac:dyDescent="0.25">
      <c r="A168" s="244">
        <v>591</v>
      </c>
      <c r="B168" s="243" t="s">
        <v>192</v>
      </c>
    </row>
    <row r="169" spans="1:2" ht="15" customHeight="1" x14ac:dyDescent="0.25">
      <c r="A169" s="244"/>
      <c r="B169" s="243"/>
    </row>
    <row r="170" spans="1:2" ht="32.25" customHeight="1" x14ac:dyDescent="0.25">
      <c r="A170" s="244">
        <v>600</v>
      </c>
      <c r="B170" s="243" t="s">
        <v>212</v>
      </c>
    </row>
    <row r="171" spans="1:2" ht="18" customHeight="1" x14ac:dyDescent="0.25">
      <c r="A171" s="244">
        <v>610</v>
      </c>
      <c r="B171" s="243" t="s">
        <v>213</v>
      </c>
    </row>
    <row r="172" spans="1:2" ht="18" customHeight="1" x14ac:dyDescent="0.25">
      <c r="A172" s="244">
        <v>612</v>
      </c>
      <c r="B172" s="243" t="s">
        <v>194</v>
      </c>
    </row>
    <row r="173" spans="1:2" ht="30" customHeight="1" x14ac:dyDescent="0.25">
      <c r="A173" s="244">
        <v>613</v>
      </c>
      <c r="B173" s="243" t="s">
        <v>195</v>
      </c>
    </row>
    <row r="174" spans="1:2" ht="18" customHeight="1" x14ac:dyDescent="0.25">
      <c r="A174" s="244">
        <v>615</v>
      </c>
      <c r="B174" s="243" t="s">
        <v>196</v>
      </c>
    </row>
    <row r="175" spans="1:2" ht="30" customHeight="1" x14ac:dyDescent="0.25">
      <c r="A175" s="244">
        <v>620</v>
      </c>
      <c r="B175" s="243" t="s">
        <v>197</v>
      </c>
    </row>
    <row r="176" spans="1:2" ht="43.5" customHeight="1" x14ac:dyDescent="0.25">
      <c r="A176" s="244">
        <v>621</v>
      </c>
      <c r="B176" s="243" t="s">
        <v>198</v>
      </c>
    </row>
    <row r="177" spans="1:2" ht="45" customHeight="1" x14ac:dyDescent="0.25">
      <c r="A177" s="244">
        <v>622</v>
      </c>
      <c r="B177" s="243" t="s">
        <v>199</v>
      </c>
    </row>
    <row r="178" spans="1:2" ht="18" customHeight="1" x14ac:dyDescent="0.25">
      <c r="A178" s="244">
        <v>623</v>
      </c>
      <c r="B178" s="243" t="s">
        <v>200</v>
      </c>
    </row>
    <row r="179" spans="1:2" ht="45" customHeight="1" x14ac:dyDescent="0.25">
      <c r="A179" s="244">
        <v>624</v>
      </c>
      <c r="B179" s="243" t="s">
        <v>201</v>
      </c>
    </row>
    <row r="180" spans="1:2" ht="45" customHeight="1" x14ac:dyDescent="0.25">
      <c r="A180" s="244">
        <v>625</v>
      </c>
      <c r="B180" s="243" t="s">
        <v>202</v>
      </c>
    </row>
    <row r="181" spans="1:2" ht="45" customHeight="1" x14ac:dyDescent="0.25">
      <c r="A181" s="244">
        <v>626</v>
      </c>
      <c r="B181" s="243" t="s">
        <v>203</v>
      </c>
    </row>
    <row r="182" spans="1:2" ht="45" customHeight="1" x14ac:dyDescent="0.25">
      <c r="A182" s="244">
        <v>627</v>
      </c>
      <c r="B182" s="243" t="s">
        <v>204</v>
      </c>
    </row>
    <row r="183" spans="1:2" ht="30" customHeight="1" x14ac:dyDescent="0.25">
      <c r="A183" s="244">
        <v>650</v>
      </c>
      <c r="B183" s="243" t="s">
        <v>205</v>
      </c>
    </row>
    <row r="184" spans="1:2" ht="18" customHeight="1" x14ac:dyDescent="0.25">
      <c r="A184" s="244">
        <v>651</v>
      </c>
      <c r="B184" s="243" t="s">
        <v>206</v>
      </c>
    </row>
    <row r="185" spans="1:2" ht="30" customHeight="1" x14ac:dyDescent="0.25">
      <c r="A185" s="244">
        <v>652</v>
      </c>
      <c r="B185" s="243" t="s">
        <v>207</v>
      </c>
    </row>
    <row r="186" spans="1:2" ht="18" customHeight="1" x14ac:dyDescent="0.25">
      <c r="A186" s="244">
        <v>653</v>
      </c>
      <c r="B186" s="243" t="s">
        <v>208</v>
      </c>
    </row>
    <row r="187" spans="1:2" ht="30" customHeight="1" x14ac:dyDescent="0.25">
      <c r="A187" s="244">
        <v>660</v>
      </c>
      <c r="B187" s="243" t="s">
        <v>209</v>
      </c>
    </row>
    <row r="188" spans="1:2" ht="18" customHeight="1" x14ac:dyDescent="0.25">
      <c r="A188" s="244">
        <v>661</v>
      </c>
      <c r="B188" s="243" t="s">
        <v>210</v>
      </c>
    </row>
    <row r="189" spans="1:2" ht="18" customHeight="1" x14ac:dyDescent="0.25">
      <c r="A189" s="244">
        <v>690</v>
      </c>
      <c r="B189" s="243" t="s">
        <v>211</v>
      </c>
    </row>
    <row r="190" spans="1:2" ht="15" customHeight="1" x14ac:dyDescent="0.25">
      <c r="A190" s="244"/>
      <c r="B190" s="243"/>
    </row>
    <row r="191" spans="1:2" ht="120" customHeight="1" x14ac:dyDescent="0.25">
      <c r="A191" s="244">
        <v>900</v>
      </c>
      <c r="B191" s="243" t="s">
        <v>228</v>
      </c>
    </row>
    <row r="192" spans="1:2" ht="17.25" customHeight="1" x14ac:dyDescent="0.25">
      <c r="A192" s="244">
        <v>910</v>
      </c>
      <c r="B192" s="243" t="s">
        <v>214</v>
      </c>
    </row>
    <row r="193" spans="1:2" ht="80.099999999999994" customHeight="1" x14ac:dyDescent="0.25">
      <c r="A193" s="244">
        <v>911</v>
      </c>
      <c r="B193" s="243" t="s">
        <v>215</v>
      </c>
    </row>
    <row r="194" spans="1:2" ht="54.95" customHeight="1" x14ac:dyDescent="0.25">
      <c r="A194" s="244">
        <v>912</v>
      </c>
      <c r="B194" s="243" t="s">
        <v>216</v>
      </c>
    </row>
    <row r="195" spans="1:2" ht="19.5" customHeight="1" x14ac:dyDescent="0.25">
      <c r="A195" s="244">
        <v>920</v>
      </c>
      <c r="B195" s="243" t="s">
        <v>217</v>
      </c>
    </row>
    <row r="196" spans="1:2" ht="45" customHeight="1" x14ac:dyDescent="0.25">
      <c r="A196" s="244">
        <v>921</v>
      </c>
      <c r="B196" s="243" t="s">
        <v>218</v>
      </c>
    </row>
    <row r="197" spans="1:2" ht="32.25" customHeight="1" x14ac:dyDescent="0.25">
      <c r="A197" s="244">
        <v>922</v>
      </c>
      <c r="B197" s="243" t="s">
        <v>219</v>
      </c>
    </row>
    <row r="198" spans="1:2" ht="82.5" customHeight="1" x14ac:dyDescent="0.25">
      <c r="A198" s="244">
        <v>923</v>
      </c>
      <c r="B198" s="243" t="s">
        <v>220</v>
      </c>
    </row>
    <row r="199" spans="1:2" ht="95.25" customHeight="1" x14ac:dyDescent="0.25">
      <c r="A199" s="244">
        <v>924</v>
      </c>
      <c r="B199" s="243" t="s">
        <v>221</v>
      </c>
    </row>
    <row r="200" spans="1:2" ht="69.95" customHeight="1" x14ac:dyDescent="0.25">
      <c r="A200" s="244">
        <v>925</v>
      </c>
      <c r="B200" s="243" t="s">
        <v>222</v>
      </c>
    </row>
    <row r="201" spans="1:2" ht="69.95" customHeight="1" x14ac:dyDescent="0.25">
      <c r="A201" s="244">
        <v>926</v>
      </c>
      <c r="B201" s="243" t="s">
        <v>223</v>
      </c>
    </row>
    <row r="202" spans="1:2" ht="69.95" customHeight="1" x14ac:dyDescent="0.25">
      <c r="A202" s="244">
        <v>927</v>
      </c>
      <c r="B202" s="243" t="s">
        <v>224</v>
      </c>
    </row>
    <row r="203" spans="1:2" ht="69.95" customHeight="1" x14ac:dyDescent="0.25">
      <c r="A203" s="244">
        <v>928</v>
      </c>
      <c r="B203" s="243" t="s">
        <v>225</v>
      </c>
    </row>
    <row r="204" spans="1:2" ht="69.75" customHeight="1" x14ac:dyDescent="0.25">
      <c r="A204" s="244">
        <v>929</v>
      </c>
      <c r="B204" s="243" t="s">
        <v>226</v>
      </c>
    </row>
    <row r="205" spans="1:2" ht="55.5" customHeight="1" x14ac:dyDescent="0.25">
      <c r="A205" s="244">
        <v>930</v>
      </c>
      <c r="B205" s="243" t="s">
        <v>227</v>
      </c>
    </row>
    <row r="206" spans="1:2" ht="15" customHeight="1" x14ac:dyDescent="0.25">
      <c r="A206" s="244"/>
      <c r="B206" s="243"/>
    </row>
    <row r="207" spans="1:2" ht="15" customHeight="1" x14ac:dyDescent="0.25">
      <c r="A207" s="241"/>
      <c r="B207" s="253" t="s">
        <v>229</v>
      </c>
    </row>
    <row r="208" spans="1:2" ht="15" customHeight="1" x14ac:dyDescent="0.25">
      <c r="A208" s="241" t="s">
        <v>6</v>
      </c>
      <c r="B208" s="243" t="s">
        <v>230</v>
      </c>
    </row>
    <row r="209" spans="1:2" ht="15" customHeight="1" x14ac:dyDescent="0.25">
      <c r="A209" s="241" t="s">
        <v>22</v>
      </c>
      <c r="B209" s="243" t="s">
        <v>231</v>
      </c>
    </row>
    <row r="210" spans="1:2" ht="15" customHeight="1" x14ac:dyDescent="0.25">
      <c r="A210" s="241" t="s">
        <v>28</v>
      </c>
      <c r="B210" s="243" t="s">
        <v>232</v>
      </c>
    </row>
    <row r="211" spans="1:2" ht="15" customHeight="1" x14ac:dyDescent="0.25">
      <c r="A211" s="241" t="s">
        <v>29</v>
      </c>
      <c r="B211" s="243" t="s">
        <v>233</v>
      </c>
    </row>
    <row r="212" spans="1:2" ht="15" customHeight="1" x14ac:dyDescent="0.25">
      <c r="A212" s="241" t="s">
        <v>237</v>
      </c>
      <c r="B212" s="243" t="s">
        <v>234</v>
      </c>
    </row>
    <row r="213" spans="1:2" ht="15" customHeight="1" x14ac:dyDescent="0.25">
      <c r="A213" s="241" t="s">
        <v>9</v>
      </c>
      <c r="B213" s="243" t="s">
        <v>235</v>
      </c>
    </row>
    <row r="214" spans="1:2" ht="15" customHeight="1" x14ac:dyDescent="0.25">
      <c r="A214" s="241" t="s">
        <v>1</v>
      </c>
      <c r="B214" s="243" t="s">
        <v>236</v>
      </c>
    </row>
    <row r="215" spans="1:2" ht="15" customHeight="1" x14ac:dyDescent="0.25">
      <c r="A215" s="241"/>
      <c r="B215" s="243"/>
    </row>
    <row r="216" spans="1:2" ht="15" customHeight="1" x14ac:dyDescent="0.25">
      <c r="A216" s="241"/>
      <c r="B216" s="242" t="s">
        <v>238</v>
      </c>
    </row>
    <row r="217" spans="1:2" ht="15" customHeight="1" x14ac:dyDescent="0.25">
      <c r="A217" s="241" t="s">
        <v>242</v>
      </c>
      <c r="B217" s="243" t="s">
        <v>239</v>
      </c>
    </row>
    <row r="218" spans="1:2" ht="15" customHeight="1" x14ac:dyDescent="0.25">
      <c r="A218" s="241" t="s">
        <v>243</v>
      </c>
      <c r="B218" s="243" t="s">
        <v>240</v>
      </c>
    </row>
    <row r="219" spans="1:2" ht="15" customHeight="1" x14ac:dyDescent="0.25">
      <c r="A219" s="254" t="s">
        <v>244</v>
      </c>
      <c r="B219" s="255" t="s">
        <v>241</v>
      </c>
    </row>
    <row r="220" spans="1:2" hidden="1" x14ac:dyDescent="0.25">
      <c r="A220" s="256"/>
      <c r="B220" s="257"/>
    </row>
  </sheetData>
  <sheetProtection algorithmName="SHA-512" hashValue="UOTGTPPAnVh/CHbXWCGooa+j6DaopP0Q1wOlB1Jn0/OacSHQ2MSGgv5I1Qb1HxVFYnC+YJR2iAieLhxXRE4loA==" saltValue="YLyhSGgCycDIKwlOjPEF+Q==" spinCount="100000" sheet="1" objects="1" scenarios="1"/>
  <phoneticPr fontId="9" type="noConversion"/>
  <pageMargins left="0.78740157480314965" right="0.6692913385826772" top="1.1417322834645669" bottom="1.3385826771653544" header="0.51181102362204722" footer="0.51181102362204722"/>
  <pageSetup paperSize="9" fitToHeight="0" orientation="portrait" r:id="rId1"/>
  <headerFooter alignWithMargins="0">
    <oddHeader>&amp;L&amp;G&amp;R&amp;G</oddHeader>
    <oddFooter>&amp;L&amp;"Calibri,Standard"&amp;10&amp;F&amp;C&amp;"Calibri,Standard"&amp;10&amp;P / &amp;N &amp;R&amp;"Calibri,Standard"&amp;10&amp;D</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pageSetUpPr fitToPage="1"/>
  </sheetPr>
  <dimension ref="A1:Z120"/>
  <sheetViews>
    <sheetView zoomScale="70" zoomScaleNormal="70" zoomScalePageLayoutView="90" workbookViewId="0">
      <selection activeCell="C7" sqref="C7"/>
    </sheetView>
  </sheetViews>
  <sheetFormatPr baseColWidth="10" defaultColWidth="0" defaultRowHeight="12.75" zeroHeight="1" x14ac:dyDescent="0.2"/>
  <cols>
    <col min="1" max="1" width="3.85546875" style="1" customWidth="1"/>
    <col min="2" max="2" width="17.42578125" style="1" customWidth="1"/>
    <col min="3" max="3" width="46" style="2" bestFit="1" customWidth="1"/>
    <col min="4" max="4" width="13.28515625" style="2" customWidth="1"/>
    <col min="5" max="5" width="9.5703125" style="2" customWidth="1"/>
    <col min="6" max="6" width="6.7109375" style="1" customWidth="1"/>
    <col min="7" max="7" width="2.85546875" style="1" customWidth="1"/>
    <col min="8" max="8" width="1.140625" style="1" customWidth="1"/>
    <col min="9" max="9" width="5.140625" style="1" customWidth="1"/>
    <col min="10" max="10" width="7.7109375" style="1" customWidth="1"/>
    <col min="11" max="11" width="5.28515625" style="1" customWidth="1"/>
    <col min="12" max="12" width="2.85546875" style="1" customWidth="1"/>
    <col min="13" max="13" width="40.7109375" style="1" customWidth="1"/>
    <col min="14" max="14" width="5.28515625" style="1" hidden="1" customWidth="1"/>
    <col min="15" max="15" width="6.42578125" style="1" hidden="1" customWidth="1"/>
    <col min="16" max="16" width="6.85546875" style="1" hidden="1" customWidth="1"/>
    <col min="17" max="18" width="6.42578125" style="1" hidden="1" customWidth="1"/>
    <col min="19" max="19" width="7" style="1" hidden="1" customWidth="1"/>
    <col min="20" max="20" width="7.28515625" style="1" hidden="1" customWidth="1"/>
    <col min="21" max="16384" width="10.85546875" style="1" hidden="1"/>
  </cols>
  <sheetData>
    <row r="1" spans="1:26" ht="17.100000000000001" customHeight="1" x14ac:dyDescent="0.25">
      <c r="A1" s="38">
        <v>100</v>
      </c>
      <c r="B1" s="259" t="s">
        <v>245</v>
      </c>
    </row>
    <row r="2" spans="1:26" ht="12.95" customHeight="1" x14ac:dyDescent="0.2">
      <c r="B2" s="5"/>
    </row>
    <row r="3" spans="1:26" ht="12.95" customHeight="1" x14ac:dyDescent="0.2">
      <c r="A3" s="3">
        <v>101</v>
      </c>
      <c r="C3" s="42" t="s">
        <v>260</v>
      </c>
      <c r="J3" s="218"/>
      <c r="M3" s="5" t="s">
        <v>416</v>
      </c>
    </row>
    <row r="4" spans="1:26" ht="12.95" customHeight="1" x14ac:dyDescent="0.2">
      <c r="A4" s="3">
        <v>102</v>
      </c>
      <c r="C4" s="264" t="s">
        <v>261</v>
      </c>
      <c r="J4" s="218"/>
    </row>
    <row r="5" spans="1:26" ht="12.95" customHeight="1" x14ac:dyDescent="0.2">
      <c r="A5" s="3">
        <v>105</v>
      </c>
      <c r="B5" s="1" t="s">
        <v>246</v>
      </c>
    </row>
    <row r="6" spans="1:26" ht="12.95" customHeight="1" x14ac:dyDescent="0.2">
      <c r="A6" s="219"/>
      <c r="B6" s="5"/>
    </row>
    <row r="7" spans="1:26" ht="12.95" customHeight="1" x14ac:dyDescent="0.2">
      <c r="A7" s="3">
        <v>106</v>
      </c>
      <c r="B7" s="5" t="s">
        <v>247</v>
      </c>
      <c r="C7" s="220" t="s">
        <v>557</v>
      </c>
      <c r="D7" s="5"/>
      <c r="E7" s="5"/>
      <c r="F7" s="5"/>
      <c r="I7" s="5"/>
      <c r="J7" s="5"/>
      <c r="K7" s="5"/>
      <c r="M7" s="209"/>
    </row>
    <row r="8" spans="1:26" ht="12.95" customHeight="1" x14ac:dyDescent="0.2">
      <c r="A8" s="219"/>
      <c r="B8" s="5"/>
      <c r="C8" s="209" t="s">
        <v>558</v>
      </c>
      <c r="D8" s="5"/>
      <c r="E8" s="5"/>
      <c r="F8" s="5"/>
      <c r="I8" s="5"/>
      <c r="J8" s="5"/>
      <c r="K8" s="5"/>
      <c r="M8" s="209"/>
    </row>
    <row r="9" spans="1:26" ht="12.95" customHeight="1" x14ac:dyDescent="0.2">
      <c r="A9" s="219"/>
      <c r="B9" s="5"/>
      <c r="C9" s="209" t="s">
        <v>559</v>
      </c>
      <c r="D9" s="5"/>
      <c r="E9" s="5"/>
      <c r="F9" s="5"/>
      <c r="I9" s="5"/>
      <c r="J9" s="5"/>
      <c r="K9" s="5"/>
      <c r="M9" s="209"/>
    </row>
    <row r="10" spans="1:26" ht="12.95" customHeight="1" x14ac:dyDescent="0.2">
      <c r="A10" s="219"/>
      <c r="B10" s="5"/>
      <c r="C10" s="5"/>
      <c r="D10" s="5"/>
      <c r="E10" s="5"/>
      <c r="F10" s="5"/>
      <c r="I10" s="5"/>
      <c r="J10" s="5"/>
      <c r="K10" s="5"/>
    </row>
    <row r="11" spans="1:26" ht="12.95" customHeight="1" x14ac:dyDescent="0.2">
      <c r="A11" s="3">
        <v>107</v>
      </c>
      <c r="B11" s="5" t="s">
        <v>248</v>
      </c>
      <c r="C11" s="220" t="s">
        <v>560</v>
      </c>
      <c r="D11" s="5"/>
      <c r="E11" s="5"/>
      <c r="F11" s="5"/>
      <c r="I11" s="5"/>
      <c r="J11" s="5"/>
      <c r="K11" s="5"/>
      <c r="M11" s="209"/>
    </row>
    <row r="12" spans="1:26" ht="12.95" customHeight="1" x14ac:dyDescent="0.2">
      <c r="A12" s="219"/>
      <c r="C12" s="1"/>
      <c r="D12" s="1"/>
      <c r="E12" s="1"/>
      <c r="O12" s="2"/>
      <c r="P12" s="2"/>
      <c r="Q12" s="2"/>
      <c r="R12" s="2"/>
      <c r="S12" s="2"/>
      <c r="T12" s="2"/>
      <c r="U12" s="2"/>
      <c r="V12" s="2"/>
      <c r="W12" s="2"/>
      <c r="X12" s="2"/>
      <c r="Y12" s="2"/>
      <c r="Z12" s="2"/>
    </row>
    <row r="13" spans="1:26" s="53" customFormat="1" ht="84" customHeight="1" x14ac:dyDescent="0.2">
      <c r="A13" s="3">
        <v>108</v>
      </c>
      <c r="B13" s="221" t="s">
        <v>249</v>
      </c>
      <c r="C13" s="221" t="str">
        <f>IF(S13&gt;10,T14,IF(S13&gt;0,T13,""))</f>
        <v xml:space="preserve">158: Les frais de planification et d'imprévus représentent moins de 5 % des coûts d'investissement. </v>
      </c>
      <c r="D13" s="221"/>
      <c r="E13" s="221"/>
      <c r="F13" s="221"/>
      <c r="I13" s="221"/>
      <c r="J13" s="221"/>
      <c r="K13" s="221"/>
      <c r="M13" s="209"/>
      <c r="O13" s="2"/>
      <c r="P13" s="2"/>
      <c r="Q13" s="2"/>
      <c r="R13" s="2"/>
      <c r="S13" s="2">
        <f>COUNTIF(Q16:S120,"&gt;0")</f>
        <v>1</v>
      </c>
      <c r="T13" s="53" t="str">
        <f>T16&amp;T24&amp;T34&amp;T47&amp;T62&amp;T74&amp;T68</f>
        <v xml:space="preserve">158: Les frais de planification et d'imprévus représentent moins de 5 % des coûts d'investissement. </v>
      </c>
    </row>
    <row r="14" spans="1:26" ht="12.95" customHeight="1" x14ac:dyDescent="0.2">
      <c r="A14" s="219"/>
      <c r="C14" s="1"/>
      <c r="D14" s="1"/>
      <c r="E14" s="1"/>
      <c r="O14" s="2"/>
      <c r="P14" s="2"/>
      <c r="Q14" s="2"/>
      <c r="R14" s="2"/>
      <c r="S14" s="2"/>
      <c r="T14" s="2" t="s">
        <v>262</v>
      </c>
      <c r="U14" s="2"/>
      <c r="V14" s="2"/>
      <c r="W14" s="2"/>
      <c r="X14" s="2"/>
      <c r="Y14" s="2"/>
      <c r="Z14" s="2"/>
    </row>
    <row r="15" spans="1:26" s="5" customFormat="1" ht="12.95" customHeight="1" x14ac:dyDescent="0.2">
      <c r="A15" s="219"/>
      <c r="C15" s="9"/>
      <c r="E15" s="1"/>
      <c r="F15" s="1"/>
      <c r="G15" s="1"/>
      <c r="H15" s="1"/>
      <c r="I15" s="1"/>
      <c r="J15" s="1"/>
      <c r="K15" s="1"/>
      <c r="L15" s="1"/>
      <c r="M15" s="1"/>
      <c r="N15" s="1"/>
      <c r="O15" s="2" t="s">
        <v>2</v>
      </c>
      <c r="P15" s="2" t="s">
        <v>3</v>
      </c>
      <c r="Q15" s="2" t="s">
        <v>5</v>
      </c>
      <c r="R15" s="2" t="s">
        <v>4</v>
      </c>
      <c r="S15" s="2" t="s">
        <v>7</v>
      </c>
      <c r="T15" s="2" t="s">
        <v>327</v>
      </c>
      <c r="U15" s="2" t="s">
        <v>328</v>
      </c>
      <c r="V15" s="2" t="s">
        <v>329</v>
      </c>
      <c r="W15" s="2" t="s">
        <v>330</v>
      </c>
      <c r="X15" s="10"/>
      <c r="Y15" s="10"/>
      <c r="Z15" s="10"/>
    </row>
    <row r="16" spans="1:26" ht="12.95" customHeight="1" x14ac:dyDescent="0.2">
      <c r="A16" s="3">
        <v>110</v>
      </c>
      <c r="B16" s="5" t="s">
        <v>250</v>
      </c>
      <c r="C16" s="1"/>
      <c r="D16" s="1"/>
      <c r="E16" s="1"/>
      <c r="O16" s="2"/>
      <c r="P16" s="2"/>
      <c r="Q16" s="2"/>
      <c r="R16" s="2"/>
      <c r="S16" s="2"/>
      <c r="T16" s="2" t="str">
        <f>T17&amp;T18&amp;T19&amp;T21&amp;T22</f>
        <v/>
      </c>
      <c r="U16" s="2"/>
      <c r="V16" s="2"/>
      <c r="W16" s="2"/>
      <c r="X16" s="2"/>
      <c r="Y16" s="2"/>
      <c r="Z16" s="2"/>
    </row>
    <row r="17" spans="1:26" ht="12.95" customHeight="1" x14ac:dyDescent="0.2">
      <c r="A17" s="3">
        <v>111</v>
      </c>
      <c r="C17" s="45" t="s">
        <v>263</v>
      </c>
      <c r="D17" s="7">
        <f>SUM(E3_Consommateurs!D18:XFD18)</f>
        <v>1870</v>
      </c>
      <c r="E17" s="1" t="s">
        <v>417</v>
      </c>
      <c r="M17" s="209"/>
      <c r="O17" s="2">
        <v>10</v>
      </c>
      <c r="P17" s="2">
        <v>9999999999</v>
      </c>
      <c r="Q17" s="2">
        <f>IF($D17&lt;O17,1,0)</f>
        <v>0</v>
      </c>
      <c r="R17" s="2">
        <f>IF($D17&gt;P17,1,0)</f>
        <v>0</v>
      </c>
      <c r="S17" s="2">
        <v>0</v>
      </c>
      <c r="T17" s="2" t="str">
        <f>IF(Q17=1,U17,IF(R17=1,V17,IF(S17=1,W17,"")))</f>
        <v/>
      </c>
      <c r="U17" s="2" t="s">
        <v>331</v>
      </c>
      <c r="V17" s="2" t="s">
        <v>332</v>
      </c>
      <c r="W17" s="2"/>
      <c r="X17" s="2"/>
      <c r="Y17" s="2"/>
      <c r="Z17" s="2"/>
    </row>
    <row r="18" spans="1:26" ht="12.95" customHeight="1" x14ac:dyDescent="0.2">
      <c r="A18" s="3">
        <v>112</v>
      </c>
      <c r="C18" s="45" t="s">
        <v>264</v>
      </c>
      <c r="D18" s="267">
        <v>10</v>
      </c>
      <c r="E18" s="1" t="s">
        <v>1</v>
      </c>
      <c r="M18" s="209"/>
      <c r="O18" s="2">
        <v>0</v>
      </c>
      <c r="P18" s="2">
        <v>20</v>
      </c>
      <c r="Q18" s="2">
        <f>IF($D18&lt;O18,1,0)</f>
        <v>0</v>
      </c>
      <c r="R18" s="2">
        <f>IF($D18&gt;P18,1,0)</f>
        <v>0</v>
      </c>
      <c r="S18" s="2">
        <f>IF(D18="",1,0)</f>
        <v>0</v>
      </c>
      <c r="T18" s="2" t="str">
        <f>IF(Q18&gt;0,U18,"")&amp;IF(R18&gt;0,V18,"")&amp;IF(S18&gt;0,W18,"")</f>
        <v/>
      </c>
      <c r="U18" s="2" t="s">
        <v>333</v>
      </c>
      <c r="V18" s="2" t="s">
        <v>334</v>
      </c>
      <c r="W18" s="2" t="s">
        <v>335</v>
      </c>
      <c r="X18" s="2"/>
      <c r="Y18" s="2"/>
      <c r="Z18" s="2"/>
    </row>
    <row r="19" spans="1:26" ht="12.95" customHeight="1" x14ac:dyDescent="0.2">
      <c r="A19" s="38">
        <v>113</v>
      </c>
      <c r="C19" s="45" t="s">
        <v>265</v>
      </c>
      <c r="D19" s="222">
        <v>1</v>
      </c>
      <c r="E19" s="1" t="s">
        <v>1</v>
      </c>
      <c r="M19" s="209"/>
      <c r="O19" s="2">
        <v>0</v>
      </c>
      <c r="P19" s="2">
        <v>5</v>
      </c>
      <c r="Q19" s="2">
        <f>IF($D19&lt;O19,1,0)</f>
        <v>0</v>
      </c>
      <c r="R19" s="2">
        <f>IF($D19&gt;P19,1,0)</f>
        <v>0</v>
      </c>
      <c r="S19" s="2">
        <f>IF(D19="",1,0)</f>
        <v>0</v>
      </c>
      <c r="T19" s="2" t="str">
        <f>IF(Q19&gt;0,U19,"")&amp;IF(R19&gt;0,V19,"")&amp;IF(S19&gt;0,W19,"")</f>
        <v/>
      </c>
      <c r="U19" s="2" t="s">
        <v>336</v>
      </c>
      <c r="V19" s="2" t="s">
        <v>337</v>
      </c>
      <c r="W19" s="2" t="s">
        <v>338</v>
      </c>
      <c r="X19" s="2"/>
      <c r="Y19" s="2"/>
      <c r="Z19" s="2"/>
    </row>
    <row r="20" spans="1:26" ht="12.95" customHeight="1" x14ac:dyDescent="0.2">
      <c r="A20" s="219"/>
      <c r="C20" s="1"/>
      <c r="D20" s="1"/>
      <c r="E20" s="1"/>
      <c r="O20" s="2"/>
      <c r="P20" s="2"/>
      <c r="Q20" s="2"/>
      <c r="R20" s="2"/>
      <c r="S20" s="2"/>
      <c r="T20" s="2"/>
      <c r="U20" s="2"/>
      <c r="W20" s="2"/>
      <c r="X20" s="2"/>
      <c r="Y20" s="2"/>
      <c r="Z20" s="2"/>
    </row>
    <row r="21" spans="1:26" ht="12.95" customHeight="1" x14ac:dyDescent="0.2">
      <c r="A21" s="3">
        <v>114</v>
      </c>
      <c r="C21" s="45" t="s">
        <v>266</v>
      </c>
      <c r="D21" s="223">
        <v>2022</v>
      </c>
      <c r="E21" s="1"/>
      <c r="M21" s="209"/>
      <c r="O21" s="2">
        <v>2000</v>
      </c>
      <c r="P21" s="2">
        <v>2100</v>
      </c>
      <c r="Q21" s="2">
        <f>IF($D21&lt;O21,1,0)</f>
        <v>0</v>
      </c>
      <c r="R21" s="2">
        <f>IF($D21&gt;P21,1,0)</f>
        <v>0</v>
      </c>
      <c r="S21" s="2">
        <v>0</v>
      </c>
      <c r="T21" s="2" t="str">
        <f>IF(Q21&gt;0,U21,"")&amp;IF(R21&gt;0,V21,"")&amp;IF(S21&gt;0,W21,"")</f>
        <v/>
      </c>
      <c r="U21" s="2" t="s">
        <v>339</v>
      </c>
      <c r="V21" s="2" t="s">
        <v>340</v>
      </c>
      <c r="W21" s="2"/>
      <c r="X21" s="2"/>
      <c r="Y21" s="2"/>
      <c r="Z21" s="2"/>
    </row>
    <row r="22" spans="1:26" ht="12.95" customHeight="1" x14ac:dyDescent="0.2">
      <c r="A22" s="3">
        <v>115</v>
      </c>
      <c r="C22" s="45" t="s">
        <v>267</v>
      </c>
      <c r="D22" s="268">
        <f>MIN(E3_Consommateurs!D21:XFD21)</f>
        <v>2024</v>
      </c>
      <c r="E22" s="1"/>
      <c r="M22" s="209"/>
      <c r="O22" s="2">
        <f>Eing_Beginnjahr</f>
        <v>2022</v>
      </c>
      <c r="P22" s="2">
        <f>O22+3</f>
        <v>2025</v>
      </c>
      <c r="Q22" s="2">
        <f>IF($D22&lt;O22,D22,0)</f>
        <v>0</v>
      </c>
      <c r="R22" s="2">
        <f>IF($D22&gt;P22,1,0)</f>
        <v>0</v>
      </c>
      <c r="S22" s="2">
        <v>0</v>
      </c>
      <c r="T22" s="2" t="str">
        <f>IF(Q22&gt;0,U22,"")&amp;IF(R22&gt;0,V22,"")&amp;IF(S22&gt;0,W22,"")</f>
        <v/>
      </c>
      <c r="U22" s="2" t="s">
        <v>341</v>
      </c>
      <c r="V22" s="2" t="s">
        <v>342</v>
      </c>
      <c r="W22" s="2"/>
      <c r="X22" s="2"/>
      <c r="Y22" s="2"/>
      <c r="Z22" s="2"/>
    </row>
    <row r="23" spans="1:26" ht="12.95" customHeight="1" x14ac:dyDescent="0.2">
      <c r="A23" s="219"/>
      <c r="C23" s="45"/>
      <c r="D23" s="50"/>
      <c r="E23" s="1"/>
      <c r="O23" s="2"/>
      <c r="P23" s="2"/>
      <c r="Q23" s="2"/>
      <c r="R23" s="2"/>
      <c r="S23" s="2"/>
      <c r="T23" s="2"/>
      <c r="U23" s="2"/>
      <c r="V23" s="2"/>
      <c r="W23" s="2"/>
      <c r="X23" s="2"/>
      <c r="Y23" s="2"/>
      <c r="Z23" s="2"/>
    </row>
    <row r="24" spans="1:26" ht="12.95" customHeight="1" x14ac:dyDescent="0.2">
      <c r="A24" s="3">
        <v>120</v>
      </c>
      <c r="B24" s="5" t="s">
        <v>251</v>
      </c>
      <c r="C24" s="1"/>
      <c r="D24" s="4"/>
      <c r="E24" s="1"/>
      <c r="O24" s="2"/>
      <c r="P24" s="2"/>
      <c r="Q24" s="2"/>
      <c r="R24" s="2"/>
      <c r="S24" s="2"/>
      <c r="T24" s="2" t="str">
        <f>T25&amp;T26&amp;T28&amp;T31&amp;T32&amp;T29</f>
        <v/>
      </c>
      <c r="U24" s="2"/>
      <c r="V24" s="2"/>
      <c r="W24" s="2"/>
      <c r="X24" s="2"/>
      <c r="Y24" s="2"/>
      <c r="Z24" s="2"/>
    </row>
    <row r="25" spans="1:26" ht="12.95" customHeight="1" x14ac:dyDescent="0.2">
      <c r="A25" s="3">
        <v>121</v>
      </c>
      <c r="C25" s="45" t="s">
        <v>268</v>
      </c>
      <c r="D25" s="222">
        <v>55</v>
      </c>
      <c r="E25" s="1" t="s">
        <v>418</v>
      </c>
      <c r="M25" s="209"/>
      <c r="O25" s="2">
        <v>0</v>
      </c>
      <c r="P25" s="2">
        <v>100</v>
      </c>
      <c r="Q25" s="2">
        <f>IF($D25&lt;O25,1,0)</f>
        <v>0</v>
      </c>
      <c r="R25" s="2">
        <f>IF($D25&gt;P25,1,0)</f>
        <v>0</v>
      </c>
      <c r="S25" s="2">
        <v>0</v>
      </c>
      <c r="T25" s="2" t="str">
        <f>IF(Q25&gt;0,U25,"")&amp;IF(R25&gt;0,V25,"")&amp;IF(S25&gt;0,W25,"")</f>
        <v/>
      </c>
      <c r="U25" s="2" t="s">
        <v>343</v>
      </c>
      <c r="V25" s="2" t="s">
        <v>344</v>
      </c>
      <c r="W25" s="2"/>
      <c r="X25" s="2"/>
      <c r="Y25" s="2"/>
      <c r="Z25" s="2"/>
    </row>
    <row r="26" spans="1:26" ht="12.95" customHeight="1" x14ac:dyDescent="0.2">
      <c r="A26" s="3">
        <v>122</v>
      </c>
      <c r="C26" s="45" t="s">
        <v>269</v>
      </c>
      <c r="D26" s="224">
        <v>85</v>
      </c>
      <c r="E26" s="1" t="s">
        <v>1</v>
      </c>
      <c r="M26" s="209"/>
      <c r="O26" s="2">
        <v>70</v>
      </c>
      <c r="P26" s="2">
        <v>100</v>
      </c>
      <c r="Q26" s="2">
        <f>IF($D26&lt;O26,1,0)</f>
        <v>0</v>
      </c>
      <c r="R26" s="2">
        <f>IF($D26&gt;P26,1,0)</f>
        <v>0</v>
      </c>
      <c r="S26" s="2">
        <v>0</v>
      </c>
      <c r="T26" s="2" t="str">
        <f>IF(Q26&gt;0,U26,"")&amp;IF(R26&gt;0,V26,"")&amp;IF(S26&gt;0,W26,"")</f>
        <v/>
      </c>
      <c r="U26" s="2" t="s">
        <v>345</v>
      </c>
      <c r="V26" s="2" t="s">
        <v>346</v>
      </c>
      <c r="W26" s="2"/>
      <c r="X26" s="2"/>
      <c r="Y26" s="2"/>
      <c r="Z26" s="2"/>
    </row>
    <row r="27" spans="1:26" ht="12.95" customHeight="1" x14ac:dyDescent="0.2">
      <c r="A27" s="3">
        <v>123</v>
      </c>
      <c r="C27" s="45" t="s">
        <v>270</v>
      </c>
      <c r="D27" s="7">
        <f>100-Eing_Anteil_Biomasse</f>
        <v>15</v>
      </c>
      <c r="E27" s="1" t="s">
        <v>1</v>
      </c>
      <c r="M27" s="209"/>
      <c r="O27" s="2"/>
      <c r="P27" s="2"/>
      <c r="Q27" s="2"/>
      <c r="R27" s="2"/>
      <c r="S27" s="2"/>
      <c r="T27" s="2"/>
      <c r="U27" s="2"/>
      <c r="V27" s="2"/>
      <c r="W27" s="2"/>
      <c r="X27" s="2"/>
      <c r="Y27" s="2"/>
      <c r="Z27" s="2"/>
    </row>
    <row r="28" spans="1:26" ht="12.95" customHeight="1" x14ac:dyDescent="0.2">
      <c r="A28" s="3">
        <v>124</v>
      </c>
      <c r="C28" s="45" t="s">
        <v>271</v>
      </c>
      <c r="D28" s="222">
        <v>85</v>
      </c>
      <c r="E28" s="1" t="s">
        <v>419</v>
      </c>
      <c r="M28" s="209"/>
      <c r="O28" s="2">
        <v>30</v>
      </c>
      <c r="P28" s="2">
        <v>300</v>
      </c>
      <c r="Q28" s="2">
        <f>IF(Anteil_fossil_erzeugt=0,0,IF($D28&lt;O28,1,0))</f>
        <v>0</v>
      </c>
      <c r="R28" s="2">
        <f>IF(Anteil_fossil_erzeugt=0,0,IF($D28&gt;P28,1,0))</f>
        <v>0</v>
      </c>
      <c r="S28" s="2">
        <f>IF(Anteil_fossil_erzeugt=0,0,IF(Eing_Rohstoffpreis_fossil&lt;Eing_Rohstoffpreis_Biomasse,1,0))</f>
        <v>0</v>
      </c>
      <c r="T28" s="2" t="str">
        <f>IF(Q28&gt;0,U28,"")&amp;IF(R28&gt;0,V28,"")&amp;IF(S28&gt;0,W28,"")</f>
        <v/>
      </c>
      <c r="U28" s="2" t="s">
        <v>347</v>
      </c>
      <c r="V28" s="2" t="s">
        <v>348</v>
      </c>
      <c r="W28" s="2" t="s">
        <v>349</v>
      </c>
      <c r="X28" s="2"/>
      <c r="Y28" s="2"/>
      <c r="Z28" s="2"/>
    </row>
    <row r="29" spans="1:26" ht="12.95" customHeight="1" x14ac:dyDescent="0.2">
      <c r="A29" s="3">
        <v>125</v>
      </c>
      <c r="C29" s="45" t="s">
        <v>272</v>
      </c>
      <c r="D29" s="224">
        <v>85</v>
      </c>
      <c r="E29" s="1" t="s">
        <v>1</v>
      </c>
      <c r="M29" s="209"/>
      <c r="O29" s="2">
        <v>40</v>
      </c>
      <c r="P29" s="2">
        <v>98</v>
      </c>
      <c r="Q29" s="2">
        <f>IF(Anteil_fossil_erzeugt=0,0,IF($D29&lt;O29,1,0))</f>
        <v>0</v>
      </c>
      <c r="R29" s="2">
        <f>IF(Anteil_fossil_erzeugt=0,0,IF($D29&gt;P29,1,0))</f>
        <v>0</v>
      </c>
      <c r="S29" s="2">
        <f>IF(Anteil_fossil_erzeugt=0,0,IF(D29="",1,0))</f>
        <v>0</v>
      </c>
      <c r="T29" s="2" t="str">
        <f>IF(Q29&gt;0,U29,"")&amp;IF(R29&gt;0,V29,"")&amp;IF(S29&gt;0,W29,"")</f>
        <v/>
      </c>
      <c r="U29" s="2" t="s">
        <v>350</v>
      </c>
      <c r="V29" s="2" t="s">
        <v>351</v>
      </c>
      <c r="W29" s="2"/>
      <c r="X29" s="2"/>
      <c r="Y29" s="2"/>
      <c r="Z29" s="2"/>
    </row>
    <row r="30" spans="1:26" ht="12.95" customHeight="1" x14ac:dyDescent="0.2">
      <c r="A30" s="219"/>
      <c r="C30" s="1"/>
      <c r="D30" s="4"/>
      <c r="E30" s="1"/>
      <c r="O30" s="2"/>
      <c r="P30" s="2"/>
      <c r="Q30" s="2"/>
      <c r="R30" s="2"/>
      <c r="S30" s="2"/>
      <c r="T30" s="2"/>
      <c r="U30" s="2"/>
      <c r="V30" s="2"/>
      <c r="W30" s="2"/>
      <c r="X30" s="2"/>
      <c r="Y30" s="2"/>
      <c r="Z30" s="2"/>
    </row>
    <row r="31" spans="1:26" ht="12.95" customHeight="1" x14ac:dyDescent="0.2">
      <c r="A31" s="3">
        <v>126</v>
      </c>
      <c r="C31" s="45" t="s">
        <v>273</v>
      </c>
      <c r="D31" s="267">
        <v>2</v>
      </c>
      <c r="E31" s="1" t="s">
        <v>420</v>
      </c>
      <c r="M31" s="209"/>
      <c r="O31" s="2">
        <v>1</v>
      </c>
      <c r="P31" s="2">
        <v>3</v>
      </c>
      <c r="Q31" s="2">
        <f>IF($D31&lt;O31,1,0)</f>
        <v>0</v>
      </c>
      <c r="R31" s="2">
        <f>IF($D31&gt;P31,1,0)</f>
        <v>0</v>
      </c>
      <c r="S31" s="2">
        <f>IF(Eing_Spez_Stromverbrauch=0,1,0)</f>
        <v>0</v>
      </c>
      <c r="T31" s="2" t="str">
        <f>IF(Q31&gt;0,U31,"")&amp;IF(R31&gt;0,V31,"")&amp;IF(S31&gt;0,W31,"")</f>
        <v/>
      </c>
      <c r="U31" s="2" t="s">
        <v>352</v>
      </c>
      <c r="V31" s="2" t="s">
        <v>353</v>
      </c>
      <c r="W31" s="2" t="s">
        <v>354</v>
      </c>
      <c r="X31" s="2"/>
      <c r="Y31" s="2"/>
      <c r="Z31" s="2"/>
    </row>
    <row r="32" spans="1:26" ht="12.95" customHeight="1" x14ac:dyDescent="0.2">
      <c r="A32" s="3">
        <v>127</v>
      </c>
      <c r="C32" s="45" t="s">
        <v>274</v>
      </c>
      <c r="D32" s="225">
        <v>0.15</v>
      </c>
      <c r="E32" s="1" t="s">
        <v>10</v>
      </c>
      <c r="M32" s="209"/>
      <c r="O32" s="2">
        <v>0.02</v>
      </c>
      <c r="P32" s="2">
        <v>0.8</v>
      </c>
      <c r="Q32" s="2">
        <f>IF($D32&lt;O32,1,0)</f>
        <v>0</v>
      </c>
      <c r="R32" s="2">
        <f>IF($D32&gt;P32,1,0)</f>
        <v>0</v>
      </c>
      <c r="S32" s="2">
        <f>IF(Eing_Strompreis=0,1,0)</f>
        <v>0</v>
      </c>
      <c r="T32" s="2" t="str">
        <f>IF(Q32&gt;0,U32,"")&amp;IF(R32&gt;0,V32,"")&amp;IF(S32&gt;0,W32,"")</f>
        <v/>
      </c>
      <c r="U32" s="2" t="s">
        <v>355</v>
      </c>
      <c r="V32" s="2" t="s">
        <v>356</v>
      </c>
      <c r="W32" s="2" t="s">
        <v>357</v>
      </c>
      <c r="X32" s="2"/>
      <c r="Y32" s="2"/>
      <c r="Z32" s="2"/>
    </row>
    <row r="33" spans="1:26" ht="12.95" customHeight="1" x14ac:dyDescent="0.2">
      <c r="A33" s="219"/>
      <c r="C33" s="1"/>
      <c r="D33" s="1"/>
      <c r="E33" s="1"/>
      <c r="O33" s="2"/>
      <c r="P33" s="2"/>
      <c r="Q33" s="2"/>
      <c r="R33" s="2"/>
      <c r="S33" s="2"/>
      <c r="T33" s="2"/>
      <c r="U33" s="2"/>
      <c r="V33" s="2"/>
      <c r="W33" s="2"/>
      <c r="X33" s="2"/>
      <c r="Y33" s="2"/>
      <c r="Z33" s="2"/>
    </row>
    <row r="34" spans="1:26" ht="12.95" customHeight="1" x14ac:dyDescent="0.2">
      <c r="A34" s="219"/>
      <c r="C34" s="1"/>
      <c r="D34" s="1"/>
      <c r="E34" s="1"/>
      <c r="O34" s="2"/>
      <c r="P34" s="2"/>
      <c r="Q34" s="2"/>
      <c r="R34" s="2"/>
      <c r="S34" s="2"/>
      <c r="T34" s="2" t="str">
        <f>T35&amp;T36&amp;T37&amp;T39&amp;T40&amp;T41</f>
        <v/>
      </c>
      <c r="U34" s="2"/>
      <c r="V34" s="2"/>
      <c r="W34" s="2"/>
      <c r="X34" s="2"/>
      <c r="Y34" s="2"/>
      <c r="Z34" s="2"/>
    </row>
    <row r="35" spans="1:26" ht="12.95" customHeight="1" x14ac:dyDescent="0.2">
      <c r="A35" s="3">
        <v>130</v>
      </c>
      <c r="C35" s="45" t="s">
        <v>275</v>
      </c>
      <c r="D35" s="267">
        <f>ROUND(1.5%*SUM(D49:D51),-2)</f>
        <v>6000</v>
      </c>
      <c r="E35" s="1" t="s">
        <v>421</v>
      </c>
      <c r="M35" s="209"/>
      <c r="O35" s="2">
        <v>1000</v>
      </c>
      <c r="P35" s="2">
        <f>5%*SUM(D49:D51)</f>
        <v>20000</v>
      </c>
      <c r="Q35" s="2">
        <f t="shared" ref="Q35:Q37" si="0">IF($D35&lt;O35,1,0)</f>
        <v>0</v>
      </c>
      <c r="R35" s="2">
        <f t="shared" ref="R35:R37" si="1">IF($D35&gt;P35,1,0)</f>
        <v>0</v>
      </c>
      <c r="S35" s="2">
        <v>0</v>
      </c>
      <c r="T35" s="2" t="str">
        <f>IF(Q35&gt;0,U35,"")&amp;IF(R35&gt;0,V35,"")&amp;IF(S35&gt;0,W35,"")</f>
        <v/>
      </c>
      <c r="U35" s="2" t="s">
        <v>358</v>
      </c>
      <c r="V35" s="2" t="s">
        <v>359</v>
      </c>
      <c r="W35" s="2"/>
      <c r="X35" s="2"/>
      <c r="Y35" s="2"/>
      <c r="Z35" s="2"/>
    </row>
    <row r="36" spans="1:26" ht="12.95" customHeight="1" x14ac:dyDescent="0.2">
      <c r="A36" s="3">
        <v>131</v>
      </c>
      <c r="C36" s="45" t="s">
        <v>276</v>
      </c>
      <c r="D36" s="224">
        <v>12000</v>
      </c>
      <c r="E36" s="1" t="s">
        <v>421</v>
      </c>
      <c r="M36" s="209"/>
      <c r="O36" s="2">
        <v>1000</v>
      </c>
      <c r="P36" s="2">
        <v>999999</v>
      </c>
      <c r="Q36" s="2">
        <f t="shared" si="0"/>
        <v>0</v>
      </c>
      <c r="R36" s="2">
        <f t="shared" si="1"/>
        <v>0</v>
      </c>
      <c r="S36" s="2">
        <v>0</v>
      </c>
      <c r="T36" s="2" t="str">
        <f>IF(Q36&gt;0,U36,"")&amp;IF(R36&gt;0,V36,"")&amp;IF(S36&gt;0,W36,"")</f>
        <v/>
      </c>
      <c r="U36" s="2" t="s">
        <v>360</v>
      </c>
      <c r="V36" s="2" t="s">
        <v>361</v>
      </c>
      <c r="W36" s="2"/>
      <c r="X36" s="2"/>
      <c r="Y36" s="2"/>
      <c r="Z36" s="2"/>
    </row>
    <row r="37" spans="1:26" ht="12.95" customHeight="1" x14ac:dyDescent="0.2">
      <c r="A37" s="3">
        <v>132</v>
      </c>
      <c r="C37" s="45" t="s">
        <v>277</v>
      </c>
      <c r="D37" s="267">
        <f>SUMPRODUCT(D48:D55,F48:F55)/100</f>
        <v>23900</v>
      </c>
      <c r="E37" s="1" t="s">
        <v>421</v>
      </c>
      <c r="M37" s="209"/>
      <c r="O37" s="2">
        <v>1000</v>
      </c>
      <c r="P37" s="2">
        <f>10%*Gesamtinvestition</f>
        <v>163500</v>
      </c>
      <c r="Q37" s="2">
        <f t="shared" si="0"/>
        <v>0</v>
      </c>
      <c r="R37" s="2">
        <f t="shared" si="1"/>
        <v>0</v>
      </c>
      <c r="S37" s="2">
        <v>0</v>
      </c>
      <c r="T37" s="2" t="str">
        <f>IF(Q37&gt;0,U37,"")&amp;IF(R37&gt;0,V37,"")&amp;IF(S37&gt;0,W37,"")</f>
        <v/>
      </c>
      <c r="U37" s="2" t="s">
        <v>362</v>
      </c>
      <c r="V37" s="2" t="s">
        <v>363</v>
      </c>
      <c r="W37" s="2"/>
      <c r="X37" s="2"/>
      <c r="Y37" s="2"/>
      <c r="Z37" s="2"/>
    </row>
    <row r="38" spans="1:26" ht="12.95" customHeight="1" x14ac:dyDescent="0.2">
      <c r="A38" s="219"/>
      <c r="C38" s="45"/>
      <c r="D38" s="4"/>
      <c r="E38" s="1"/>
      <c r="O38" s="2"/>
      <c r="P38" s="2"/>
      <c r="Q38" s="2"/>
      <c r="R38" s="2"/>
      <c r="S38" s="2"/>
      <c r="T38" s="2"/>
      <c r="U38" s="2"/>
      <c r="V38" s="2"/>
      <c r="W38" s="2"/>
      <c r="X38" s="2"/>
      <c r="Y38" s="2"/>
      <c r="Z38" s="2"/>
    </row>
    <row r="39" spans="1:26" ht="12.95" customHeight="1" x14ac:dyDescent="0.2">
      <c r="A39" s="3">
        <v>135</v>
      </c>
      <c r="C39" s="45" t="s">
        <v>278</v>
      </c>
      <c r="D39" s="224">
        <v>1000</v>
      </c>
      <c r="E39" s="1" t="s">
        <v>421</v>
      </c>
      <c r="M39" s="209"/>
      <c r="O39" s="2">
        <v>1000</v>
      </c>
      <c r="P39" s="2">
        <f>Gesamtinvestition/20</f>
        <v>81750</v>
      </c>
      <c r="Q39" s="2">
        <f>IF($D39&lt;O39,1,0)</f>
        <v>0</v>
      </c>
      <c r="R39" s="2">
        <f>IF($D39&gt;P39,1,0)</f>
        <v>0</v>
      </c>
      <c r="S39" s="2">
        <v>0</v>
      </c>
      <c r="T39" s="2" t="str">
        <f>IF(Q39&gt;0,U39,"")&amp;IF(R39&gt;0,V39,"")&amp;IF(S39&gt;0,W39,"")</f>
        <v/>
      </c>
      <c r="U39" s="2" t="s">
        <v>364</v>
      </c>
      <c r="V39" s="2" t="s">
        <v>365</v>
      </c>
      <c r="W39" s="2"/>
      <c r="X39" s="2"/>
      <c r="Y39" s="2"/>
      <c r="Z39" s="2"/>
    </row>
    <row r="40" spans="1:26" ht="12.95" customHeight="1" x14ac:dyDescent="0.2">
      <c r="A40" s="3">
        <v>136</v>
      </c>
      <c r="C40" s="45" t="s">
        <v>279</v>
      </c>
      <c r="D40" s="267">
        <f>ROUND(1%*Gesamtinvestition,-2)</f>
        <v>16400</v>
      </c>
      <c r="E40" s="1" t="s">
        <v>421</v>
      </c>
      <c r="M40" s="209"/>
      <c r="O40" s="2">
        <v>1000</v>
      </c>
      <c r="P40" s="2">
        <f>5%*Gesamtinvestition</f>
        <v>81750</v>
      </c>
      <c r="Q40" s="2">
        <f>IF($D40&lt;O40,1,0)</f>
        <v>0</v>
      </c>
      <c r="R40" s="2">
        <f>IF($D40&gt;P40,1,0)</f>
        <v>0</v>
      </c>
      <c r="S40" s="2">
        <v>0</v>
      </c>
      <c r="T40" s="2" t="str">
        <f>IF(Q40&gt;0,U40,"")&amp;IF(R40&gt;0,V40,"")&amp;IF(S40&gt;0,W40,"")</f>
        <v/>
      </c>
      <c r="U40" s="2" t="s">
        <v>366</v>
      </c>
      <c r="V40" s="2" t="s">
        <v>367</v>
      </c>
      <c r="W40" s="2" t="s">
        <v>368</v>
      </c>
      <c r="X40" s="2"/>
      <c r="Y40" s="2"/>
      <c r="Z40" s="2"/>
    </row>
    <row r="41" spans="1:26" ht="12.95" customHeight="1" x14ac:dyDescent="0.2">
      <c r="A41" s="3">
        <v>137</v>
      </c>
      <c r="C41" s="45" t="s">
        <v>280</v>
      </c>
      <c r="D41" s="222">
        <v>1</v>
      </c>
      <c r="E41" s="1" t="s">
        <v>1</v>
      </c>
      <c r="M41" s="209"/>
      <c r="O41" s="2">
        <v>0</v>
      </c>
      <c r="P41" s="2">
        <v>5</v>
      </c>
      <c r="Q41" s="2">
        <f>IF($D41&lt;O41,1,0)</f>
        <v>0</v>
      </c>
      <c r="R41" s="2">
        <f>IF($D41&gt;P41,1,0)</f>
        <v>0</v>
      </c>
      <c r="S41" s="2">
        <v>0</v>
      </c>
      <c r="T41" s="2" t="str">
        <f>IF(Q41&gt;0,U41,"")&amp;IF(R41&gt;0,V41,"")&amp;IF(S41&gt;0,W41,"")</f>
        <v/>
      </c>
      <c r="U41" s="2" t="s">
        <v>369</v>
      </c>
      <c r="V41" s="2" t="s">
        <v>370</v>
      </c>
      <c r="W41" s="2"/>
      <c r="X41" s="2"/>
      <c r="Y41" s="2"/>
      <c r="Z41" s="2"/>
    </row>
    <row r="42" spans="1:26" ht="12.95" customHeight="1" x14ac:dyDescent="0.2">
      <c r="A42" s="3">
        <v>138</v>
      </c>
      <c r="C42" s="45" t="s">
        <v>281</v>
      </c>
      <c r="D42" s="222">
        <v>3</v>
      </c>
      <c r="E42" s="1" t="s">
        <v>1</v>
      </c>
      <c r="M42" s="209"/>
      <c r="O42" s="2">
        <v>0</v>
      </c>
      <c r="P42" s="2">
        <v>10</v>
      </c>
      <c r="Q42" s="2">
        <f>IF($D42&lt;O42,1,0)</f>
        <v>0</v>
      </c>
      <c r="R42" s="2">
        <f>IF($D42&gt;P42,1,0)</f>
        <v>0</v>
      </c>
      <c r="S42" s="2">
        <v>0</v>
      </c>
      <c r="T42" s="2" t="str">
        <f t="shared" ref="T42:T43" si="2">IF(Q42&gt;0,U42,"")&amp;IF(R42&gt;0,V42,"")&amp;IF(S42&gt;0,W42,"")</f>
        <v/>
      </c>
      <c r="U42" s="2" t="s">
        <v>371</v>
      </c>
      <c r="V42" s="2" t="s">
        <v>372</v>
      </c>
      <c r="W42" s="2"/>
      <c r="X42" s="2"/>
      <c r="Y42" s="2"/>
      <c r="Z42" s="2"/>
    </row>
    <row r="43" spans="1:26" ht="12.95" customHeight="1" x14ac:dyDescent="0.2">
      <c r="A43" s="3">
        <v>139</v>
      </c>
      <c r="C43" s="45" t="s">
        <v>282</v>
      </c>
      <c r="D43" s="269">
        <f>Eing_Nominalzins-Eing_allg_Teuerung</f>
        <v>2</v>
      </c>
      <c r="E43" s="1" t="s">
        <v>1</v>
      </c>
      <c r="M43" s="209"/>
      <c r="O43" s="2">
        <v>0</v>
      </c>
      <c r="P43" s="2">
        <v>8</v>
      </c>
      <c r="Q43" s="2">
        <f t="shared" ref="Q43" si="3">IF($D43&lt;O43,1,0)</f>
        <v>0</v>
      </c>
      <c r="R43" s="2">
        <f t="shared" ref="R43" si="4">IF($D43&gt;P43,1,0)</f>
        <v>0</v>
      </c>
      <c r="S43" s="2">
        <v>0</v>
      </c>
      <c r="T43" s="2" t="str">
        <f t="shared" si="2"/>
        <v/>
      </c>
      <c r="U43" s="2" t="s">
        <v>373</v>
      </c>
      <c r="V43" s="2" t="s">
        <v>374</v>
      </c>
      <c r="W43" s="2"/>
      <c r="X43" s="2"/>
      <c r="Y43" s="2"/>
      <c r="Z43" s="2"/>
    </row>
    <row r="44" spans="1:26" ht="12.95" customHeight="1" x14ac:dyDescent="0.2">
      <c r="A44" s="219"/>
      <c r="C44" s="45"/>
      <c r="D44" s="8"/>
      <c r="E44" s="1"/>
      <c r="O44" s="2"/>
      <c r="P44" s="2"/>
      <c r="Q44" s="2"/>
      <c r="R44" s="2"/>
      <c r="S44" s="2"/>
      <c r="T44" s="2"/>
      <c r="U44" s="2"/>
      <c r="V44" s="2"/>
      <c r="W44" s="2"/>
      <c r="X44" s="2"/>
      <c r="Y44" s="2"/>
      <c r="Z44" s="2"/>
    </row>
    <row r="45" spans="1:26" ht="12.95" customHeight="1" x14ac:dyDescent="0.2">
      <c r="A45" s="3">
        <v>140</v>
      </c>
      <c r="B45" s="5" t="s">
        <v>252</v>
      </c>
      <c r="C45" s="45"/>
      <c r="D45" s="3">
        <v>141</v>
      </c>
      <c r="E45" s="1"/>
      <c r="F45" s="3">
        <v>142</v>
      </c>
      <c r="G45" s="3"/>
      <c r="I45" s="3">
        <v>143</v>
      </c>
      <c r="K45" s="3"/>
      <c r="M45" s="3"/>
      <c r="O45" s="2"/>
      <c r="P45" s="2"/>
      <c r="Q45" s="2"/>
      <c r="R45" s="2"/>
      <c r="S45" s="2"/>
      <c r="T45" s="2"/>
      <c r="U45" s="2"/>
      <c r="V45" s="2"/>
      <c r="W45" s="2"/>
      <c r="X45" s="2"/>
      <c r="Y45" s="2"/>
      <c r="Z45" s="2"/>
    </row>
    <row r="46" spans="1:26" ht="12.95" customHeight="1" x14ac:dyDescent="0.2">
      <c r="A46" s="219"/>
      <c r="B46" s="5"/>
      <c r="C46" s="45"/>
      <c r="D46" s="1"/>
      <c r="E46" s="1"/>
      <c r="F46" s="66"/>
      <c r="G46" s="66" t="s">
        <v>277</v>
      </c>
      <c r="I46" s="68" t="s">
        <v>423</v>
      </c>
      <c r="J46" s="66"/>
      <c r="K46" s="68"/>
      <c r="L46" s="66"/>
      <c r="M46" s="226"/>
      <c r="N46" s="227"/>
      <c r="O46" s="2"/>
      <c r="P46" s="2"/>
      <c r="Q46" s="2"/>
      <c r="R46" s="2"/>
      <c r="S46" s="2"/>
      <c r="T46" s="2"/>
      <c r="U46" s="2"/>
      <c r="V46" s="2"/>
      <c r="W46" s="2"/>
      <c r="X46" s="2"/>
      <c r="Y46" s="2"/>
      <c r="Z46" s="2"/>
    </row>
    <row r="47" spans="1:26" ht="12.95" customHeight="1" x14ac:dyDescent="0.2">
      <c r="A47" s="3">
        <v>150</v>
      </c>
      <c r="B47" s="5" t="s">
        <v>253</v>
      </c>
      <c r="C47" s="81" t="s">
        <v>283</v>
      </c>
      <c r="D47" s="1"/>
      <c r="E47" s="1"/>
      <c r="G47" s="66" t="s">
        <v>422</v>
      </c>
      <c r="I47" s="68" t="s">
        <v>424</v>
      </c>
      <c r="K47" s="68"/>
      <c r="L47" s="66"/>
      <c r="N47" s="66"/>
      <c r="O47" s="2"/>
      <c r="P47" s="2"/>
      <c r="Q47" s="2"/>
      <c r="R47" s="2"/>
      <c r="S47" s="2"/>
      <c r="T47" s="2" t="str">
        <f>T48&amp;T51&amp;T52&amp;T54&amp;T55&amp;T56&amp;T49&amp;T50&amp;T53</f>
        <v xml:space="preserve">158: Les frais de planification et d'imprévus représentent moins de 5 % des coûts d'investissement. </v>
      </c>
      <c r="U47" s="2"/>
      <c r="V47" s="2"/>
      <c r="W47" s="2"/>
      <c r="X47" s="2"/>
      <c r="Y47" s="2"/>
      <c r="Z47" s="2"/>
    </row>
    <row r="48" spans="1:26" ht="12.95" customHeight="1" x14ac:dyDescent="0.2">
      <c r="A48" s="3">
        <v>151</v>
      </c>
      <c r="C48" s="43" t="s">
        <v>284</v>
      </c>
      <c r="D48" s="228">
        <v>500000</v>
      </c>
      <c r="E48" s="1" t="s">
        <v>9</v>
      </c>
      <c r="F48" s="270">
        <v>1</v>
      </c>
      <c r="G48" s="1" t="s">
        <v>1</v>
      </c>
      <c r="I48" s="270">
        <v>50</v>
      </c>
      <c r="J48" s="1" t="s">
        <v>425</v>
      </c>
      <c r="K48" s="229"/>
      <c r="M48" s="209"/>
      <c r="O48" s="2">
        <v>10000</v>
      </c>
      <c r="P48" s="2">
        <v>999999999</v>
      </c>
      <c r="Q48" s="2">
        <f t="shared" ref="Q48:Q49" si="5">IF($D48&lt;O48,1,0)</f>
        <v>0</v>
      </c>
      <c r="R48" s="2">
        <f t="shared" ref="R48:R56" si="6">IF($D48&gt;P48,1,0)</f>
        <v>0</v>
      </c>
      <c r="S48" s="2">
        <v>0</v>
      </c>
      <c r="T48" s="2" t="str">
        <f t="shared" ref="T48:T56" si="7">IF(Q48&gt;0,U48,"")&amp;IF(R48&gt;0,V48,"")&amp;IF(S48&gt;0,W48,"")</f>
        <v/>
      </c>
      <c r="U48" s="2" t="s">
        <v>375</v>
      </c>
      <c r="V48" s="2" t="s">
        <v>376</v>
      </c>
      <c r="W48" s="2"/>
      <c r="X48" s="2"/>
      <c r="Y48" s="2"/>
      <c r="Z48" s="2"/>
    </row>
    <row r="49" spans="1:26" ht="12.95" customHeight="1" x14ac:dyDescent="0.2">
      <c r="A49" s="3">
        <v>152</v>
      </c>
      <c r="C49" s="43" t="s">
        <v>285</v>
      </c>
      <c r="D49" s="228">
        <v>150000</v>
      </c>
      <c r="E49" s="1" t="s">
        <v>9</v>
      </c>
      <c r="F49" s="270">
        <v>3</v>
      </c>
      <c r="G49" s="1" t="s">
        <v>1</v>
      </c>
      <c r="I49" s="270">
        <v>20</v>
      </c>
      <c r="J49" s="1" t="s">
        <v>425</v>
      </c>
      <c r="K49" s="229"/>
      <c r="M49" s="209"/>
      <c r="O49" s="2">
        <v>10000</v>
      </c>
      <c r="P49" s="2">
        <v>999999999</v>
      </c>
      <c r="Q49" s="2">
        <f t="shared" si="5"/>
        <v>0</v>
      </c>
      <c r="R49" s="2">
        <f t="shared" si="6"/>
        <v>0</v>
      </c>
      <c r="S49" s="2">
        <v>0</v>
      </c>
      <c r="T49" s="2" t="str">
        <f t="shared" si="7"/>
        <v/>
      </c>
      <c r="U49" s="2" t="s">
        <v>377</v>
      </c>
      <c r="V49" s="2" t="s">
        <v>378</v>
      </c>
      <c r="W49" s="2"/>
      <c r="X49" s="2"/>
      <c r="Y49" s="2"/>
      <c r="Z49" s="2"/>
    </row>
    <row r="50" spans="1:26" ht="12.95" customHeight="1" x14ac:dyDescent="0.2">
      <c r="A50" s="3">
        <v>153</v>
      </c>
      <c r="C50" s="43" t="s">
        <v>286</v>
      </c>
      <c r="D50" s="228">
        <v>50000</v>
      </c>
      <c r="E50" s="1" t="s">
        <v>9</v>
      </c>
      <c r="F50" s="270">
        <v>2</v>
      </c>
      <c r="G50" s="1" t="s">
        <v>1</v>
      </c>
      <c r="I50" s="270">
        <v>20</v>
      </c>
      <c r="J50" s="1" t="s">
        <v>425</v>
      </c>
      <c r="K50" s="229"/>
      <c r="M50" s="209"/>
      <c r="O50" s="2">
        <v>10000</v>
      </c>
      <c r="P50" s="2">
        <v>999999999</v>
      </c>
      <c r="Q50" s="2">
        <f>IF(Anteil_fossil_erzeugt=0,0,IF($D50&lt;O50,1,0))</f>
        <v>0</v>
      </c>
      <c r="R50" s="2">
        <f t="shared" si="6"/>
        <v>0</v>
      </c>
      <c r="S50" s="2">
        <v>0</v>
      </c>
      <c r="T50" s="2" t="str">
        <f t="shared" si="7"/>
        <v/>
      </c>
      <c r="U50" s="2" t="s">
        <v>379</v>
      </c>
      <c r="V50" s="2" t="s">
        <v>380</v>
      </c>
      <c r="W50" s="2"/>
      <c r="X50" s="2"/>
      <c r="Y50" s="2"/>
      <c r="Z50" s="2"/>
    </row>
    <row r="51" spans="1:26" ht="12.95" customHeight="1" x14ac:dyDescent="0.2">
      <c r="A51" s="3">
        <v>154</v>
      </c>
      <c r="C51" s="43" t="s">
        <v>287</v>
      </c>
      <c r="D51" s="228">
        <v>200000</v>
      </c>
      <c r="E51" s="1" t="s">
        <v>9</v>
      </c>
      <c r="F51" s="270">
        <v>2</v>
      </c>
      <c r="G51" s="1" t="s">
        <v>1</v>
      </c>
      <c r="I51" s="270">
        <v>20</v>
      </c>
      <c r="J51" s="1" t="s">
        <v>425</v>
      </c>
      <c r="K51" s="229"/>
      <c r="M51" s="209"/>
      <c r="O51" s="2">
        <v>10000</v>
      </c>
      <c r="P51" s="2">
        <v>999999999</v>
      </c>
      <c r="Q51" s="2">
        <f t="shared" ref="Q51:Q56" si="8">IF($D51&lt;O51,1,0)</f>
        <v>0</v>
      </c>
      <c r="R51" s="2">
        <f t="shared" si="6"/>
        <v>0</v>
      </c>
      <c r="S51" s="2">
        <v>0</v>
      </c>
      <c r="T51" s="2" t="str">
        <f t="shared" si="7"/>
        <v/>
      </c>
      <c r="U51" s="2" t="s">
        <v>381</v>
      </c>
      <c r="V51" s="2" t="s">
        <v>382</v>
      </c>
      <c r="W51" s="2"/>
      <c r="X51" s="2"/>
      <c r="Y51" s="2"/>
      <c r="Z51" s="2"/>
    </row>
    <row r="52" spans="1:26" ht="12.95" customHeight="1" x14ac:dyDescent="0.2">
      <c r="A52" s="3">
        <v>155</v>
      </c>
      <c r="C52" s="43" t="s">
        <v>288</v>
      </c>
      <c r="D52" s="228">
        <v>500000</v>
      </c>
      <c r="E52" s="1" t="s">
        <v>9</v>
      </c>
      <c r="F52" s="270">
        <v>1</v>
      </c>
      <c r="G52" s="1" t="s">
        <v>1</v>
      </c>
      <c r="I52" s="270">
        <v>40</v>
      </c>
      <c r="J52" s="1" t="s">
        <v>425</v>
      </c>
      <c r="K52" s="229"/>
      <c r="M52" s="209"/>
      <c r="O52" s="2">
        <v>10000</v>
      </c>
      <c r="P52" s="2">
        <v>999999999</v>
      </c>
      <c r="Q52" s="2">
        <f t="shared" si="8"/>
        <v>0</v>
      </c>
      <c r="R52" s="2">
        <f t="shared" si="6"/>
        <v>0</v>
      </c>
      <c r="S52" s="2">
        <v>0</v>
      </c>
      <c r="T52" s="2" t="str">
        <f t="shared" si="7"/>
        <v/>
      </c>
      <c r="U52" s="2" t="s">
        <v>383</v>
      </c>
      <c r="V52" s="2" t="s">
        <v>384</v>
      </c>
      <c r="W52" s="2"/>
      <c r="X52" s="2"/>
      <c r="Y52" s="2"/>
      <c r="Z52" s="2"/>
    </row>
    <row r="53" spans="1:26" ht="12.95" customHeight="1" x14ac:dyDescent="0.2">
      <c r="A53" s="3">
        <v>156</v>
      </c>
      <c r="C53" s="43" t="s">
        <v>289</v>
      </c>
      <c r="D53" s="228">
        <v>20000</v>
      </c>
      <c r="E53" s="1" t="s">
        <v>9</v>
      </c>
      <c r="F53" s="270">
        <v>2</v>
      </c>
      <c r="G53" s="1" t="s">
        <v>1</v>
      </c>
      <c r="I53" s="270">
        <v>15</v>
      </c>
      <c r="J53" s="1" t="s">
        <v>425</v>
      </c>
      <c r="K53" s="229"/>
      <c r="M53" s="209"/>
      <c r="O53" s="2">
        <v>10000</v>
      </c>
      <c r="P53" s="2">
        <v>999999999</v>
      </c>
      <c r="Q53" s="2">
        <f t="shared" si="8"/>
        <v>0</v>
      </c>
      <c r="R53" s="2">
        <f t="shared" si="6"/>
        <v>0</v>
      </c>
      <c r="S53" s="2">
        <v>0</v>
      </c>
      <c r="T53" s="2" t="str">
        <f t="shared" si="7"/>
        <v/>
      </c>
      <c r="U53" s="2" t="s">
        <v>385</v>
      </c>
      <c r="V53" s="2" t="s">
        <v>386</v>
      </c>
      <c r="X53" s="2"/>
      <c r="Y53" s="2"/>
      <c r="Z53" s="2"/>
    </row>
    <row r="54" spans="1:26" ht="12.95" customHeight="1" x14ac:dyDescent="0.2">
      <c r="A54" s="3">
        <v>157</v>
      </c>
      <c r="C54" s="43" t="s">
        <v>290</v>
      </c>
      <c r="D54" s="228">
        <v>200000</v>
      </c>
      <c r="E54" s="1" t="s">
        <v>9</v>
      </c>
      <c r="F54" s="270">
        <v>2</v>
      </c>
      <c r="G54" s="1" t="s">
        <v>1</v>
      </c>
      <c r="I54" s="270">
        <v>30</v>
      </c>
      <c r="J54" s="1" t="s">
        <v>425</v>
      </c>
      <c r="K54" s="229"/>
      <c r="M54" s="209"/>
      <c r="O54" s="2">
        <v>10000</v>
      </c>
      <c r="P54" s="2">
        <v>999999999</v>
      </c>
      <c r="Q54" s="2">
        <f t="shared" si="8"/>
        <v>0</v>
      </c>
      <c r="R54" s="2">
        <f t="shared" si="6"/>
        <v>0</v>
      </c>
      <c r="S54" s="2">
        <v>0</v>
      </c>
      <c r="T54" s="2" t="str">
        <f t="shared" si="7"/>
        <v/>
      </c>
      <c r="U54" s="2" t="s">
        <v>387</v>
      </c>
      <c r="V54" s="2" t="s">
        <v>388</v>
      </c>
      <c r="X54" s="2"/>
      <c r="Y54" s="2"/>
      <c r="Z54" s="2"/>
    </row>
    <row r="55" spans="1:26" ht="12.95" customHeight="1" x14ac:dyDescent="0.2">
      <c r="A55" s="3">
        <v>158</v>
      </c>
      <c r="C55" s="43" t="s">
        <v>291</v>
      </c>
      <c r="D55" s="228">
        <v>15000</v>
      </c>
      <c r="E55" s="1" t="s">
        <v>9</v>
      </c>
      <c r="F55" s="270">
        <v>0</v>
      </c>
      <c r="G55" s="1" t="s">
        <v>1</v>
      </c>
      <c r="I55" s="268">
        <f>IF(SUM(D48:D54)=0,1,SUMPRODUCT(D48:D54,I48:I54)/SUM(D48:D54))</f>
        <v>36.604938271604937</v>
      </c>
      <c r="J55" s="1" t="s">
        <v>425</v>
      </c>
      <c r="K55" s="229"/>
      <c r="M55" s="209"/>
      <c r="O55" s="2">
        <v>0</v>
      </c>
      <c r="P55" s="2">
        <v>999999999</v>
      </c>
      <c r="Q55" s="2">
        <f t="shared" si="8"/>
        <v>0</v>
      </c>
      <c r="R55" s="2">
        <f t="shared" si="6"/>
        <v>0</v>
      </c>
      <c r="S55" s="2">
        <f>IF(Eing_Kosten_Planung_QM&lt;Gesamtinvestition/20,1,0)</f>
        <v>1</v>
      </c>
      <c r="T55" s="2" t="str">
        <f t="shared" si="7"/>
        <v xml:space="preserve">158: Les frais de planification et d'imprévus représentent moins de 5 % des coûts d'investissement. </v>
      </c>
      <c r="U55" s="2" t="s">
        <v>389</v>
      </c>
      <c r="V55" s="2" t="s">
        <v>390</v>
      </c>
      <c r="W55" s="2" t="s">
        <v>391</v>
      </c>
      <c r="X55" s="2"/>
      <c r="Y55" s="2"/>
      <c r="Z55" s="2"/>
    </row>
    <row r="56" spans="1:26" s="5" customFormat="1" ht="12.95" customHeight="1" x14ac:dyDescent="0.2">
      <c r="A56" s="3">
        <v>159</v>
      </c>
      <c r="C56" s="39" t="s">
        <v>292</v>
      </c>
      <c r="D56" s="58">
        <f>SUM(D48:D55)</f>
        <v>1635000</v>
      </c>
      <c r="E56" s="5" t="s">
        <v>9</v>
      </c>
      <c r="I56" s="58">
        <f>IF(SUM(D48:D55)=0,"",SUMPRODUCT(D48:D55,I48:I55)/SUM(D48:D55))</f>
        <v>36.604938271604937</v>
      </c>
      <c r="J56" s="5" t="s">
        <v>425</v>
      </c>
      <c r="M56" s="209"/>
      <c r="O56" s="10">
        <v>0</v>
      </c>
      <c r="P56" s="10">
        <v>999999999</v>
      </c>
      <c r="Q56" s="10">
        <f t="shared" si="8"/>
        <v>0</v>
      </c>
      <c r="R56" s="10">
        <f t="shared" si="6"/>
        <v>0</v>
      </c>
      <c r="S56" s="10">
        <v>0</v>
      </c>
      <c r="T56" s="2" t="str">
        <f t="shared" si="7"/>
        <v/>
      </c>
      <c r="U56" s="2" t="s">
        <v>392</v>
      </c>
      <c r="V56" s="2" t="s">
        <v>393</v>
      </c>
      <c r="W56" s="10"/>
      <c r="X56" s="10"/>
      <c r="Y56" s="10"/>
      <c r="Z56" s="10"/>
    </row>
    <row r="57" spans="1:26" s="5" customFormat="1" ht="12.95" customHeight="1" x14ac:dyDescent="0.2">
      <c r="A57" s="3">
        <v>160</v>
      </c>
      <c r="B57" s="5" t="s">
        <v>254</v>
      </c>
      <c r="C57" s="39"/>
      <c r="D57" s="230" t="s">
        <v>426</v>
      </c>
      <c r="E57" s="231"/>
      <c r="F57" s="66" t="s">
        <v>427</v>
      </c>
      <c r="I57" s="58"/>
      <c r="M57" s="1"/>
      <c r="O57" s="10"/>
      <c r="P57" s="10"/>
      <c r="Q57" s="10"/>
      <c r="R57" s="10"/>
      <c r="S57" s="10"/>
      <c r="T57" s="10"/>
      <c r="U57" s="10"/>
      <c r="V57" s="10"/>
      <c r="W57" s="10"/>
      <c r="X57" s="10"/>
      <c r="Y57" s="10"/>
      <c r="Z57" s="10"/>
    </row>
    <row r="58" spans="1:26" s="5" customFormat="1" ht="12.95" customHeight="1" x14ac:dyDescent="0.2">
      <c r="A58" s="3">
        <v>161</v>
      </c>
      <c r="C58" s="43" t="s">
        <v>293</v>
      </c>
      <c r="D58" s="50">
        <f>Eing_Beginnjahr</f>
        <v>2022</v>
      </c>
      <c r="E58" s="1"/>
      <c r="F58" s="1">
        <f>100-SUM(F59:F60)</f>
        <v>20</v>
      </c>
      <c r="G58" s="5" t="s">
        <v>1</v>
      </c>
      <c r="I58" s="7">
        <f>F58</f>
        <v>20</v>
      </c>
      <c r="J58" s="5" t="s">
        <v>1</v>
      </c>
      <c r="M58" s="209"/>
      <c r="O58" s="10"/>
      <c r="P58" s="10"/>
      <c r="Q58" s="10"/>
      <c r="R58" s="10"/>
      <c r="S58" s="10"/>
      <c r="T58" s="10"/>
      <c r="U58" s="10"/>
      <c r="V58" s="10"/>
      <c r="W58" s="10"/>
      <c r="X58" s="10"/>
      <c r="Y58" s="10"/>
      <c r="Z58" s="10"/>
    </row>
    <row r="59" spans="1:26" s="5" customFormat="1" ht="12.95" customHeight="1" x14ac:dyDescent="0.2">
      <c r="A59" s="3">
        <v>162</v>
      </c>
      <c r="C59" s="43" t="s">
        <v>294</v>
      </c>
      <c r="D59" s="270">
        <f>Eing_Beginnjahr+1</f>
        <v>2023</v>
      </c>
      <c r="E59" s="1"/>
      <c r="F59" s="232">
        <v>30</v>
      </c>
      <c r="G59" s="5" t="s">
        <v>1</v>
      </c>
      <c r="I59" s="7">
        <f>F58+F59</f>
        <v>50</v>
      </c>
      <c r="J59" s="5" t="s">
        <v>1</v>
      </c>
      <c r="M59" s="209"/>
      <c r="O59" s="10"/>
      <c r="P59" s="10"/>
      <c r="Q59" s="10"/>
      <c r="R59" s="10"/>
      <c r="S59" s="10"/>
      <c r="T59" s="10"/>
      <c r="U59" s="10"/>
      <c r="V59" s="10"/>
      <c r="W59" s="10"/>
      <c r="X59" s="10"/>
      <c r="Y59" s="10"/>
      <c r="Z59" s="10"/>
    </row>
    <row r="60" spans="1:26" ht="12.95" customHeight="1" x14ac:dyDescent="0.2">
      <c r="A60" s="3">
        <v>163</v>
      </c>
      <c r="C60" s="43" t="s">
        <v>295</v>
      </c>
      <c r="D60" s="270">
        <f>Eing_Beginnjahr+2</f>
        <v>2024</v>
      </c>
      <c r="E60" s="1"/>
      <c r="F60" s="232">
        <v>50</v>
      </c>
      <c r="G60" s="1" t="s">
        <v>1</v>
      </c>
      <c r="I60" s="7">
        <f>I59+F60</f>
        <v>100</v>
      </c>
      <c r="J60" s="1" t="s">
        <v>1</v>
      </c>
      <c r="M60" s="209"/>
      <c r="O60" s="2"/>
      <c r="P60" s="2"/>
      <c r="Q60" s="2"/>
      <c r="R60" s="2"/>
      <c r="S60" s="2"/>
      <c r="T60" s="2"/>
      <c r="U60" s="2"/>
      <c r="V60" s="2"/>
      <c r="W60" s="2"/>
      <c r="X60" s="2"/>
      <c r="Y60" s="2"/>
      <c r="Z60" s="2"/>
    </row>
    <row r="61" spans="1:26" ht="12.95" customHeight="1" x14ac:dyDescent="0.2">
      <c r="A61" s="219"/>
      <c r="C61" s="43"/>
      <c r="D61" s="1"/>
      <c r="E61" s="1"/>
      <c r="O61" s="2"/>
      <c r="P61" s="2"/>
      <c r="Q61" s="2"/>
      <c r="R61" s="2"/>
      <c r="S61" s="2"/>
      <c r="T61" s="2"/>
      <c r="U61" s="2"/>
      <c r="V61" s="2"/>
      <c r="W61" s="2"/>
      <c r="X61" s="2"/>
      <c r="Y61" s="2"/>
      <c r="Z61" s="2"/>
    </row>
    <row r="62" spans="1:26" ht="12.95" customHeight="1" x14ac:dyDescent="0.2">
      <c r="A62" s="3">
        <v>165</v>
      </c>
      <c r="B62" s="5" t="s">
        <v>255</v>
      </c>
      <c r="C62" s="39" t="s">
        <v>296</v>
      </c>
      <c r="D62" s="1"/>
      <c r="E62" s="1"/>
      <c r="O62" s="2"/>
      <c r="P62" s="2"/>
      <c r="Q62" s="2"/>
      <c r="R62" s="2"/>
      <c r="S62" s="2"/>
      <c r="T62" s="2" t="str">
        <f>T63&amp;T64&amp;T66&amp;T65</f>
        <v/>
      </c>
      <c r="U62" s="2"/>
      <c r="V62" s="2"/>
      <c r="W62" s="2"/>
      <c r="X62" s="2"/>
      <c r="Y62" s="2"/>
      <c r="Z62" s="2"/>
    </row>
    <row r="63" spans="1:26" ht="12.95" customHeight="1" x14ac:dyDescent="0.2">
      <c r="A63" s="3">
        <v>166</v>
      </c>
      <c r="C63" s="43" t="s">
        <v>297</v>
      </c>
      <c r="D63" s="224">
        <v>1000000</v>
      </c>
      <c r="E63" s="1" t="s">
        <v>9</v>
      </c>
      <c r="M63" s="209"/>
      <c r="O63" s="2">
        <v>0</v>
      </c>
      <c r="P63" s="2">
        <f>Gesamtinvestition</f>
        <v>1635000</v>
      </c>
      <c r="Q63" s="2">
        <f>IF($D63&lt;O63,1,0)</f>
        <v>0</v>
      </c>
      <c r="R63" s="2">
        <f>IF($D63&gt;P63,1,0)</f>
        <v>0</v>
      </c>
      <c r="S63" s="2">
        <v>0</v>
      </c>
      <c r="T63" s="2" t="str">
        <f>IF(Q63&gt;0,U63,"")&amp;IF(R63&gt;0,V63,"")&amp;IF(S63&gt;0,W63,"")</f>
        <v/>
      </c>
      <c r="U63" s="2" t="s">
        <v>394</v>
      </c>
      <c r="V63" s="2" t="s">
        <v>395</v>
      </c>
      <c r="W63" s="2"/>
      <c r="X63" s="2"/>
      <c r="Y63" s="2"/>
      <c r="Z63" s="2"/>
    </row>
    <row r="64" spans="1:26" ht="12.95" customHeight="1" x14ac:dyDescent="0.2">
      <c r="A64" s="3">
        <v>167</v>
      </c>
      <c r="C64" s="43" t="s">
        <v>298</v>
      </c>
      <c r="D64" s="224">
        <v>15</v>
      </c>
      <c r="E64" s="1" t="s">
        <v>425</v>
      </c>
      <c r="M64" s="209"/>
      <c r="O64" s="2">
        <v>0</v>
      </c>
      <c r="P64" s="2">
        <v>25</v>
      </c>
      <c r="Q64" s="2">
        <f>IF($D64&lt;O64,Eing_Kredit_1,0)</f>
        <v>0</v>
      </c>
      <c r="R64" s="2">
        <f>IF($D64&gt;P64,Eing_Kredit_1,0)</f>
        <v>0</v>
      </c>
      <c r="S64" s="2">
        <v>0</v>
      </c>
      <c r="T64" s="2" t="str">
        <f>IF(Q64&gt;0,U64,"")&amp;IF(R64&gt;0,V64,"")&amp;IF(S64&gt;0,W64,"")</f>
        <v/>
      </c>
      <c r="U64" s="2" t="s">
        <v>396</v>
      </c>
      <c r="V64" s="2" t="s">
        <v>397</v>
      </c>
      <c r="W64" s="2"/>
      <c r="X64" s="2"/>
      <c r="Y64" s="2"/>
      <c r="Z64" s="2"/>
    </row>
    <row r="65" spans="1:26" ht="12.95" customHeight="1" x14ac:dyDescent="0.2">
      <c r="A65" s="3">
        <v>168</v>
      </c>
      <c r="C65" s="43" t="s">
        <v>299</v>
      </c>
      <c r="D65" s="223">
        <v>2022</v>
      </c>
      <c r="E65" s="1"/>
      <c r="M65" s="209"/>
      <c r="O65" s="2">
        <f>Eing_Beginnjahr-1</f>
        <v>2021</v>
      </c>
      <c r="P65" s="2">
        <f>O65+20</f>
        <v>2041</v>
      </c>
      <c r="Q65" s="2">
        <f>IF($D65&lt;=O65,Eing_Kredit_1,0)</f>
        <v>0</v>
      </c>
      <c r="R65" s="2">
        <f>IF($D65&gt;P65,Eing_Kredit_1,0)</f>
        <v>0</v>
      </c>
      <c r="S65" s="2">
        <v>0</v>
      </c>
      <c r="T65" s="2" t="str">
        <f>IF(Q65&gt;0,U65,"")&amp;IF(R65&gt;0,V65,"")&amp;IF(S65&gt;0,W65,"")</f>
        <v/>
      </c>
      <c r="U65" s="2" t="s">
        <v>398</v>
      </c>
      <c r="V65" s="2" t="s">
        <v>399</v>
      </c>
      <c r="W65" s="2"/>
      <c r="X65" s="2"/>
      <c r="Y65" s="2"/>
      <c r="Z65" s="2"/>
    </row>
    <row r="66" spans="1:26" ht="12.95" customHeight="1" x14ac:dyDescent="0.2">
      <c r="A66" s="3">
        <v>169</v>
      </c>
      <c r="C66" s="43" t="s">
        <v>300</v>
      </c>
      <c r="D66" s="222">
        <v>2.5</v>
      </c>
      <c r="E66" s="1" t="s">
        <v>1</v>
      </c>
      <c r="M66" s="209"/>
      <c r="O66" s="2">
        <v>2</v>
      </c>
      <c r="P66" s="2">
        <v>10</v>
      </c>
      <c r="Q66" s="2">
        <f>IF($D66&lt;=O66,Eing_Kredit_1,0)</f>
        <v>0</v>
      </c>
      <c r="R66" s="2">
        <f>IF($D66&gt;P66,Eing_Kredit_1,0)</f>
        <v>0</v>
      </c>
      <c r="S66" s="2">
        <v>0</v>
      </c>
      <c r="T66" s="2" t="str">
        <f>IF(Q66&gt;0,U66,"")&amp;IF(R66&gt;0,V66,"")&amp;IF(S66&gt;0,W66,"")</f>
        <v/>
      </c>
      <c r="U66" s="2" t="s">
        <v>400</v>
      </c>
      <c r="V66" s="2" t="s">
        <v>401</v>
      </c>
      <c r="W66" s="2"/>
      <c r="X66" s="2"/>
      <c r="Y66" s="2"/>
      <c r="Z66" s="2"/>
    </row>
    <row r="67" spans="1:26" ht="12.95" customHeight="1" x14ac:dyDescent="0.2">
      <c r="A67" s="219"/>
      <c r="C67" s="1"/>
      <c r="D67" s="1"/>
      <c r="E67" s="1"/>
      <c r="O67" s="2"/>
      <c r="P67" s="2"/>
      <c r="Q67" s="2"/>
      <c r="R67" s="2"/>
      <c r="S67" s="2"/>
      <c r="T67" s="2"/>
      <c r="U67" s="2"/>
      <c r="V67" s="2"/>
      <c r="W67" s="2"/>
      <c r="X67" s="2"/>
      <c r="Y67" s="2"/>
      <c r="Z67" s="2"/>
    </row>
    <row r="68" spans="1:26" ht="12.95" customHeight="1" x14ac:dyDescent="0.2">
      <c r="A68" s="219"/>
      <c r="B68" s="5"/>
      <c r="C68" s="233" t="s">
        <v>301</v>
      </c>
      <c r="D68" s="1"/>
      <c r="E68" s="1"/>
      <c r="O68" s="2"/>
      <c r="P68" s="2"/>
      <c r="Q68" s="2"/>
      <c r="R68" s="2"/>
      <c r="S68" s="2"/>
      <c r="T68" s="2" t="str">
        <f>T69&amp;T70&amp;T72&amp;T71</f>
        <v/>
      </c>
      <c r="U68" s="2"/>
      <c r="V68" s="2"/>
      <c r="W68" s="2"/>
      <c r="X68" s="2"/>
      <c r="Y68" s="2"/>
      <c r="Z68" s="2"/>
    </row>
    <row r="69" spans="1:26" ht="12.95" customHeight="1" x14ac:dyDescent="0.2">
      <c r="A69" s="3">
        <v>166</v>
      </c>
      <c r="C69" s="43" t="s">
        <v>297</v>
      </c>
      <c r="D69" s="224">
        <v>120000</v>
      </c>
      <c r="E69" s="1" t="s">
        <v>9</v>
      </c>
      <c r="M69" s="209"/>
      <c r="O69" s="2">
        <v>0</v>
      </c>
      <c r="P69" s="2">
        <f>Gesamtinvestition</f>
        <v>1635000</v>
      </c>
      <c r="Q69" s="2">
        <f>IF($D69&lt;O69,1,0)</f>
        <v>0</v>
      </c>
      <c r="R69" s="2">
        <f>IF($D69&gt;P69,1,0)</f>
        <v>0</v>
      </c>
      <c r="S69" s="2">
        <v>0</v>
      </c>
      <c r="T69" s="2" t="str">
        <f>IF(Q69&gt;0,U69,"")&amp;IF(R69&gt;0,V69,"")&amp;IF(S69&gt;0,W69,"")</f>
        <v/>
      </c>
      <c r="U69" s="2" t="s">
        <v>394</v>
      </c>
      <c r="V69" s="2" t="s">
        <v>395</v>
      </c>
      <c r="W69" s="2"/>
      <c r="X69" s="2"/>
      <c r="Y69" s="2"/>
      <c r="Z69" s="2"/>
    </row>
    <row r="70" spans="1:26" ht="12.95" customHeight="1" x14ac:dyDescent="0.2">
      <c r="A70" s="3">
        <v>167</v>
      </c>
      <c r="C70" s="43" t="s">
        <v>298</v>
      </c>
      <c r="D70" s="224">
        <v>5</v>
      </c>
      <c r="E70" s="1" t="s">
        <v>425</v>
      </c>
      <c r="M70" s="209"/>
      <c r="O70" s="2">
        <v>0</v>
      </c>
      <c r="P70" s="2">
        <v>25</v>
      </c>
      <c r="Q70" s="2">
        <f>IF($D70&lt;O70,Eing_Kredit_2,0)</f>
        <v>0</v>
      </c>
      <c r="R70" s="2">
        <f>IF($D70&gt;P70,Eing_Kredit_2,0)</f>
        <v>0</v>
      </c>
      <c r="S70" s="2">
        <v>0</v>
      </c>
      <c r="T70" s="2" t="str">
        <f>IF(Q70&gt;0,U70,"")&amp;IF(R70&gt;0,V70,"")&amp;IF(S70&gt;0,W70,"")</f>
        <v/>
      </c>
      <c r="U70" s="2" t="s">
        <v>396</v>
      </c>
      <c r="V70" s="2" t="s">
        <v>397</v>
      </c>
      <c r="W70" s="2"/>
      <c r="X70" s="2"/>
      <c r="Y70" s="2"/>
      <c r="Z70" s="2"/>
    </row>
    <row r="71" spans="1:26" ht="12.95" customHeight="1" x14ac:dyDescent="0.2">
      <c r="A71" s="3">
        <v>168</v>
      </c>
      <c r="C71" s="43" t="s">
        <v>299</v>
      </c>
      <c r="D71" s="223">
        <v>2030</v>
      </c>
      <c r="E71" s="1"/>
      <c r="M71" s="209"/>
      <c r="O71" s="2">
        <f>Eing_Beginnjahr-1</f>
        <v>2021</v>
      </c>
      <c r="P71" s="2">
        <f>O71+20</f>
        <v>2041</v>
      </c>
      <c r="Q71" s="2">
        <f>IF($D71&lt;=O71,Eing_Kredit_2,0)</f>
        <v>0</v>
      </c>
      <c r="R71" s="2">
        <f>IF($D71&gt;P71,Eing_Kredit_2,0)</f>
        <v>0</v>
      </c>
      <c r="S71" s="2">
        <v>0</v>
      </c>
      <c r="T71" s="2" t="str">
        <f>IF(Q71&gt;0,U71,"")&amp;IF(R71&gt;0,V71,"")&amp;IF(S71&gt;0,W71,"")</f>
        <v/>
      </c>
      <c r="U71" s="2" t="s">
        <v>398</v>
      </c>
      <c r="V71" s="2" t="s">
        <v>399</v>
      </c>
      <c r="W71" s="2"/>
      <c r="X71" s="2"/>
      <c r="Y71" s="2"/>
      <c r="Z71" s="2"/>
    </row>
    <row r="72" spans="1:26" ht="12.95" customHeight="1" x14ac:dyDescent="0.2">
      <c r="A72" s="3">
        <v>169</v>
      </c>
      <c r="C72" s="43" t="s">
        <v>300</v>
      </c>
      <c r="D72" s="222">
        <v>4</v>
      </c>
      <c r="E72" s="1" t="s">
        <v>1</v>
      </c>
      <c r="M72" s="209"/>
      <c r="O72" s="2">
        <v>2</v>
      </c>
      <c r="P72" s="2">
        <v>10</v>
      </c>
      <c r="Q72" s="2">
        <f>IF($D72&lt;=O72,Eing_Kredit_2,0)</f>
        <v>0</v>
      </c>
      <c r="R72" s="2">
        <f>IF($D72&gt;P72,Eing_Kredit_2,0)</f>
        <v>0</v>
      </c>
      <c r="S72" s="2">
        <v>0</v>
      </c>
      <c r="T72" s="2" t="str">
        <f>IF(Q72&gt;0,U72,"")&amp;IF(R72&gt;0,V72,"")&amp;IF(S72&gt;0,W72,"")</f>
        <v/>
      </c>
      <c r="U72" s="2" t="s">
        <v>400</v>
      </c>
      <c r="V72" s="2" t="s">
        <v>401</v>
      </c>
      <c r="W72" s="2"/>
      <c r="X72" s="2"/>
      <c r="Y72" s="2"/>
      <c r="Z72" s="2"/>
    </row>
    <row r="73" spans="1:26" ht="12.95" customHeight="1" x14ac:dyDescent="0.2">
      <c r="A73" s="219"/>
      <c r="C73" s="1"/>
      <c r="D73" s="1"/>
      <c r="E73" s="1"/>
      <c r="O73" s="2"/>
      <c r="P73" s="2"/>
      <c r="Q73" s="2"/>
      <c r="R73" s="2"/>
      <c r="S73" s="2"/>
      <c r="T73" s="2"/>
      <c r="U73" s="2"/>
      <c r="V73" s="2"/>
      <c r="W73" s="2"/>
      <c r="X73" s="2"/>
      <c r="Y73" s="2"/>
      <c r="Z73" s="2"/>
    </row>
    <row r="74" spans="1:26" ht="12.95" customHeight="1" x14ac:dyDescent="0.2">
      <c r="A74" s="3">
        <v>170</v>
      </c>
      <c r="B74" s="5" t="s">
        <v>256</v>
      </c>
      <c r="C74" s="1"/>
      <c r="D74" s="1"/>
      <c r="E74" s="1"/>
      <c r="O74" s="2"/>
      <c r="P74" s="2"/>
      <c r="Q74" s="2"/>
      <c r="R74" s="2"/>
      <c r="S74" s="2"/>
      <c r="T74" s="2" t="str">
        <f>T76&amp;T77&amp;T82&amp;T78&amp;T79&amp;T81&amp;T83</f>
        <v/>
      </c>
      <c r="U74" s="2"/>
      <c r="V74" s="2"/>
      <c r="W74" s="2"/>
      <c r="X74" s="2"/>
      <c r="Y74" s="2"/>
      <c r="Z74" s="2"/>
    </row>
    <row r="75" spans="1:26" ht="12.95" customHeight="1" x14ac:dyDescent="0.2">
      <c r="A75" s="3">
        <v>171</v>
      </c>
      <c r="C75" s="39" t="s">
        <v>302</v>
      </c>
      <c r="D75" s="1"/>
      <c r="E75" s="1"/>
      <c r="O75" s="2"/>
      <c r="P75" s="2"/>
      <c r="Q75" s="2"/>
      <c r="R75" s="2"/>
      <c r="S75" s="2"/>
      <c r="T75" s="2"/>
      <c r="U75" s="2"/>
      <c r="V75" s="2"/>
      <c r="W75" s="2"/>
      <c r="X75" s="2"/>
      <c r="Y75" s="2"/>
      <c r="Z75" s="2"/>
    </row>
    <row r="76" spans="1:26" ht="12.95" customHeight="1" x14ac:dyDescent="0.2">
      <c r="A76" s="3">
        <v>172</v>
      </c>
      <c r="C76" s="43" t="s">
        <v>303</v>
      </c>
      <c r="D76" s="224">
        <v>159000</v>
      </c>
      <c r="E76" s="1" t="s">
        <v>9</v>
      </c>
      <c r="M76" s="209"/>
      <c r="O76" s="2">
        <v>0</v>
      </c>
      <c r="P76" s="2">
        <f>Gesamtinvestition</f>
        <v>1635000</v>
      </c>
      <c r="Q76" s="2">
        <f>IF($D76&lt;O76,1,0)</f>
        <v>0</v>
      </c>
      <c r="R76" s="2">
        <f>IF($D76&gt;P76,1,0)</f>
        <v>0</v>
      </c>
      <c r="S76" s="2">
        <v>0</v>
      </c>
      <c r="T76" s="2" t="str">
        <f>IF(Q76&gt;0,U76,"")&amp;IF(R76&gt;0,V76,"")&amp;IF(S76&gt;0,W76,"")</f>
        <v/>
      </c>
      <c r="U76" s="2" t="s">
        <v>402</v>
      </c>
      <c r="V76" s="2" t="s">
        <v>403</v>
      </c>
      <c r="W76" s="2"/>
      <c r="X76" s="2"/>
      <c r="Y76" s="2"/>
      <c r="Z76" s="2"/>
    </row>
    <row r="77" spans="1:26" ht="12.95" customHeight="1" x14ac:dyDescent="0.2">
      <c r="A77" s="3">
        <v>173</v>
      </c>
      <c r="C77" s="43" t="s">
        <v>304</v>
      </c>
      <c r="D77" s="223">
        <v>2024</v>
      </c>
      <c r="E77" s="1"/>
      <c r="M77" s="209"/>
      <c r="O77" s="2">
        <f>Eing_Beginnjahr</f>
        <v>2022</v>
      </c>
      <c r="P77" s="2">
        <f>O77+10</f>
        <v>2032</v>
      </c>
      <c r="Q77" s="2">
        <f>IF($D77&lt;O77,Einmaliger_Förderbeitrag_1,0)</f>
        <v>0</v>
      </c>
      <c r="R77" s="2">
        <f>IF($D77&gt;P77,Einmaliger_Förderbeitrag_1,0)</f>
        <v>0</v>
      </c>
      <c r="S77" s="2">
        <v>0</v>
      </c>
      <c r="T77" s="2" t="str">
        <f>IF(Q77&gt;0,U77,"")&amp;IF(R77&gt;0,V77,"")&amp;IF(S77&gt;0,W77,"")</f>
        <v/>
      </c>
      <c r="U77" s="2" t="s">
        <v>404</v>
      </c>
      <c r="V77" s="2" t="s">
        <v>405</v>
      </c>
      <c r="W77" s="2"/>
      <c r="X77" s="2"/>
      <c r="Y77" s="2"/>
      <c r="Z77" s="2"/>
    </row>
    <row r="78" spans="1:26" ht="12.95" customHeight="1" x14ac:dyDescent="0.2">
      <c r="A78" s="3">
        <v>174</v>
      </c>
      <c r="B78" s="5"/>
      <c r="C78" s="43" t="s">
        <v>305</v>
      </c>
      <c r="D78" s="224">
        <v>50000</v>
      </c>
      <c r="E78" s="1" t="s">
        <v>9</v>
      </c>
      <c r="M78" s="209"/>
      <c r="O78" s="2">
        <v>0</v>
      </c>
      <c r="P78" s="2">
        <f>Gesamtinvestition</f>
        <v>1635000</v>
      </c>
      <c r="Q78" s="2">
        <f>IF($D78&lt;O78,1,0)</f>
        <v>0</v>
      </c>
      <c r="R78" s="2">
        <f>IF($D78&gt;P78,1,0)</f>
        <v>0</v>
      </c>
      <c r="S78" s="2">
        <v>0</v>
      </c>
      <c r="T78" s="2" t="str">
        <f>IF(Q78&gt;0,U78,"")&amp;IF(R78&gt;0,V78,"")&amp;IF(S78&gt;0,W78,"")</f>
        <v/>
      </c>
      <c r="U78" s="2" t="s">
        <v>406</v>
      </c>
      <c r="V78" s="2" t="s">
        <v>407</v>
      </c>
      <c r="W78" s="2"/>
      <c r="X78" s="2"/>
      <c r="Y78" s="2"/>
      <c r="Z78" s="2"/>
    </row>
    <row r="79" spans="1:26" ht="12.95" customHeight="1" x14ac:dyDescent="0.2">
      <c r="A79" s="3">
        <v>175</v>
      </c>
      <c r="C79" s="43" t="s">
        <v>304</v>
      </c>
      <c r="D79" s="223">
        <v>2025</v>
      </c>
      <c r="E79" s="1"/>
      <c r="M79" s="209"/>
      <c r="O79" s="2">
        <f>Eing_Beginnjahr</f>
        <v>2022</v>
      </c>
      <c r="P79" s="2">
        <f>O79+10</f>
        <v>2032</v>
      </c>
      <c r="Q79" s="2">
        <f>IF($D79&lt;O79,D78,0)</f>
        <v>0</v>
      </c>
      <c r="R79" s="2">
        <f>IF($D79&gt;P79,Einmaliger_Förderbeitrag_2,0)</f>
        <v>0</v>
      </c>
      <c r="S79" s="2">
        <v>0</v>
      </c>
      <c r="T79" s="2" t="str">
        <f>IF(Q79&gt;0,U79,"")&amp;IF(R79&gt;0,V79,"")&amp;IF(S79&gt;0,W79,"")</f>
        <v/>
      </c>
      <c r="U79" s="2" t="s">
        <v>408</v>
      </c>
      <c r="V79" s="2" t="s">
        <v>409</v>
      </c>
      <c r="W79" s="2"/>
      <c r="X79" s="2"/>
      <c r="Y79" s="2"/>
      <c r="Z79" s="2"/>
    </row>
    <row r="80" spans="1:26" ht="12.95" customHeight="1" x14ac:dyDescent="0.2">
      <c r="A80" s="3">
        <v>176</v>
      </c>
      <c r="C80" s="39" t="s">
        <v>306</v>
      </c>
      <c r="D80" s="4"/>
      <c r="E80" s="1"/>
      <c r="O80" s="2"/>
      <c r="P80" s="2"/>
      <c r="Q80" s="2"/>
      <c r="R80" s="2"/>
      <c r="S80" s="2"/>
      <c r="T80" s="2"/>
      <c r="U80" s="2"/>
      <c r="V80" s="2"/>
      <c r="W80" s="2"/>
      <c r="X80" s="2"/>
      <c r="Y80" s="2"/>
      <c r="Z80" s="2"/>
    </row>
    <row r="81" spans="1:26" ht="12.95" customHeight="1" x14ac:dyDescent="0.2">
      <c r="A81" s="3">
        <v>177</v>
      </c>
      <c r="C81" s="43" t="s">
        <v>307</v>
      </c>
      <c r="D81" s="224">
        <v>10000</v>
      </c>
      <c r="E81" s="1" t="s">
        <v>421</v>
      </c>
      <c r="M81" s="209"/>
      <c r="O81" s="2">
        <v>0</v>
      </c>
      <c r="P81" s="2">
        <f>IF(Eing_Förderung_wiederholend_Laufzeit=0,0,Gesamtinvestition/Eing_Förderung_wiederholend_Laufzeit)</f>
        <v>109000</v>
      </c>
      <c r="Q81" s="2">
        <f>IF($D81&lt;O81,1,0)</f>
        <v>0</v>
      </c>
      <c r="R81" s="2">
        <f>IF($D81&gt;P81,1,0)</f>
        <v>0</v>
      </c>
      <c r="S81" s="2">
        <v>0</v>
      </c>
      <c r="T81" s="2" t="str">
        <f>IF(Q81&gt;0,U81,"")&amp;IF(R81&gt;0,V81,"")&amp;IF(S81&gt;0,W81,"")</f>
        <v/>
      </c>
      <c r="U81" s="2" t="s">
        <v>410</v>
      </c>
      <c r="V81" s="2" t="s">
        <v>411</v>
      </c>
      <c r="W81" s="2"/>
      <c r="X81" s="2"/>
      <c r="Y81" s="2"/>
      <c r="Z81" s="2"/>
    </row>
    <row r="82" spans="1:26" ht="12.95" customHeight="1" x14ac:dyDescent="0.2">
      <c r="A82" s="3">
        <v>178</v>
      </c>
      <c r="C82" s="43" t="s">
        <v>308</v>
      </c>
      <c r="D82" s="224">
        <v>15</v>
      </c>
      <c r="E82" s="1" t="s">
        <v>425</v>
      </c>
      <c r="M82" s="209"/>
      <c r="O82" s="2">
        <v>2</v>
      </c>
      <c r="P82" s="2">
        <v>25</v>
      </c>
      <c r="Q82" s="2">
        <f>IF($D82&lt;O82,jährlicher_Förderbeitrag,0)</f>
        <v>0</v>
      </c>
      <c r="R82" s="2">
        <f>IF($D82&gt;P82,jährlicher_Förderbeitrag,0)</f>
        <v>0</v>
      </c>
      <c r="S82" s="2">
        <v>0</v>
      </c>
      <c r="T82" s="2" t="str">
        <f>IF(Q82&gt;0,U82,"")&amp;IF(R82&gt;0,V82,"")&amp;IF(S82&gt;0,W82,"")</f>
        <v/>
      </c>
      <c r="U82" s="2" t="s">
        <v>412</v>
      </c>
      <c r="V82" s="2" t="s">
        <v>413</v>
      </c>
      <c r="W82" s="2"/>
      <c r="X82" s="2"/>
      <c r="Y82" s="2"/>
      <c r="Z82" s="2"/>
    </row>
    <row r="83" spans="1:26" ht="12.95" customHeight="1" x14ac:dyDescent="0.2">
      <c r="A83" s="3">
        <v>179</v>
      </c>
      <c r="C83" s="43" t="s">
        <v>309</v>
      </c>
      <c r="D83" s="223">
        <v>2026</v>
      </c>
      <c r="E83" s="1"/>
      <c r="M83" s="209"/>
      <c r="O83" s="2">
        <f>Eing_Beginnjahr</f>
        <v>2022</v>
      </c>
      <c r="P83" s="2">
        <f>O83+10</f>
        <v>2032</v>
      </c>
      <c r="Q83" s="2">
        <f>IF($D83&lt;O83,jährlicher_Förderbeitrag,0)</f>
        <v>0</v>
      </c>
      <c r="R83" s="2">
        <f>IF($D83&gt;P83,jährlicher_Förderbeitrag,0)</f>
        <v>0</v>
      </c>
      <c r="S83" s="2">
        <v>0</v>
      </c>
      <c r="T83" s="2" t="str">
        <f>IF(Q83&gt;0,U83,"")&amp;IF(R83&gt;0,V83,"")&amp;IF(S83&gt;0,W83,"")</f>
        <v/>
      </c>
      <c r="U83" s="2" t="s">
        <v>414</v>
      </c>
      <c r="V83" s="2" t="s">
        <v>415</v>
      </c>
      <c r="W83" s="2"/>
      <c r="X83" s="2"/>
      <c r="Y83" s="2"/>
      <c r="Z83" s="2"/>
    </row>
    <row r="84" spans="1:26" ht="12.95" customHeight="1" x14ac:dyDescent="0.2">
      <c r="A84" s="219"/>
      <c r="C84" s="43"/>
      <c r="D84" s="1"/>
      <c r="E84" s="1"/>
      <c r="O84" s="2"/>
      <c r="P84" s="2"/>
      <c r="Q84" s="2"/>
      <c r="R84" s="2"/>
      <c r="S84" s="2"/>
      <c r="T84" s="2"/>
      <c r="U84" s="2"/>
      <c r="V84" s="2"/>
      <c r="W84" s="2"/>
      <c r="X84" s="2"/>
      <c r="Y84" s="2"/>
      <c r="Z84" s="2"/>
    </row>
    <row r="85" spans="1:26" ht="12.95" customHeight="1" x14ac:dyDescent="0.2">
      <c r="A85" s="3">
        <v>180</v>
      </c>
      <c r="B85" s="5" t="s">
        <v>257</v>
      </c>
      <c r="C85" s="1"/>
      <c r="D85" s="1"/>
      <c r="E85" s="1"/>
      <c r="O85" s="2"/>
      <c r="P85" s="2"/>
      <c r="Q85" s="2"/>
      <c r="R85" s="2"/>
      <c r="S85" s="2"/>
      <c r="T85" s="2"/>
      <c r="U85" s="2"/>
      <c r="V85" s="2"/>
      <c r="W85" s="2"/>
      <c r="X85" s="2"/>
      <c r="Y85" s="2"/>
      <c r="Z85" s="2"/>
    </row>
    <row r="86" spans="1:26" ht="12.95" customHeight="1" x14ac:dyDescent="0.2">
      <c r="A86" s="3">
        <v>181</v>
      </c>
      <c r="C86" s="45" t="s">
        <v>310</v>
      </c>
      <c r="D86" s="7">
        <f>Eing_verkaufteWM/((100-Eing_Netzverluste))*100</f>
        <v>2077.7777777777778</v>
      </c>
      <c r="E86" s="1" t="s">
        <v>417</v>
      </c>
      <c r="M86" s="209"/>
      <c r="O86" s="2"/>
      <c r="P86" s="2"/>
      <c r="Q86" s="2"/>
      <c r="R86" s="2"/>
      <c r="S86" s="2"/>
      <c r="T86" s="2"/>
      <c r="U86" s="2"/>
      <c r="V86" s="2"/>
      <c r="W86" s="2"/>
      <c r="X86" s="2"/>
      <c r="Y86" s="2"/>
      <c r="Z86" s="2"/>
    </row>
    <row r="87" spans="1:26" ht="12.95" customHeight="1" x14ac:dyDescent="0.2">
      <c r="A87" s="3">
        <v>182</v>
      </c>
      <c r="C87" s="45" t="s">
        <v>311</v>
      </c>
      <c r="D87" s="7">
        <f>D86*Eing_Anteil_Biomasse/100</f>
        <v>1766.1111111111113</v>
      </c>
      <c r="E87" s="1" t="s">
        <v>417</v>
      </c>
      <c r="M87" s="209"/>
      <c r="O87" s="2"/>
      <c r="P87" s="2"/>
      <c r="Q87" s="2"/>
      <c r="R87" s="2"/>
      <c r="S87" s="2"/>
      <c r="T87" s="2"/>
      <c r="U87" s="2"/>
      <c r="V87" s="2"/>
      <c r="W87" s="2"/>
      <c r="X87" s="2"/>
      <c r="Y87" s="2"/>
      <c r="Z87" s="2"/>
    </row>
    <row r="88" spans="1:26" ht="12.95" customHeight="1" x14ac:dyDescent="0.2">
      <c r="A88" s="3">
        <v>183</v>
      </c>
      <c r="C88" s="45" t="s">
        <v>312</v>
      </c>
      <c r="D88" s="7">
        <f>IF(Eing_Jahresnutzungsgrad_Kessel=0,0,Erzeugte_Wärmemenge*(Anteil_fossil_erzeugt/100)/Eing_Jahresnutzungsgrad_Kessel*100)</f>
        <v>366.66666666666669</v>
      </c>
      <c r="E88" s="1" t="s">
        <v>417</v>
      </c>
      <c r="M88" s="209"/>
      <c r="O88" s="2"/>
      <c r="P88" s="2"/>
      <c r="Q88" s="2"/>
      <c r="R88" s="2"/>
      <c r="S88" s="2"/>
      <c r="T88" s="2"/>
      <c r="U88" s="2"/>
      <c r="V88" s="2"/>
      <c r="W88" s="2"/>
      <c r="X88" s="2"/>
      <c r="Y88" s="2"/>
      <c r="Z88" s="2"/>
    </row>
    <row r="89" spans="1:26" ht="12.95" customHeight="1" x14ac:dyDescent="0.2">
      <c r="A89" s="3">
        <v>184</v>
      </c>
      <c r="C89" s="45" t="s">
        <v>313</v>
      </c>
      <c r="D89" s="7">
        <f>Erzeugte_Wärmemenge*Eing_Spez_Stromverbrauch/100</f>
        <v>41.555555555555557</v>
      </c>
      <c r="E89" s="1" t="s">
        <v>417</v>
      </c>
      <c r="M89" s="209"/>
      <c r="O89" s="2"/>
      <c r="P89" s="2"/>
      <c r="Q89" s="2"/>
      <c r="R89" s="2"/>
      <c r="S89" s="2"/>
      <c r="T89" s="2"/>
      <c r="U89" s="2"/>
      <c r="V89" s="2"/>
      <c r="W89" s="2"/>
      <c r="X89" s="2"/>
      <c r="Y89" s="2"/>
      <c r="Z89" s="2"/>
    </row>
    <row r="90" spans="1:26" ht="12.95" customHeight="1" x14ac:dyDescent="0.2">
      <c r="A90" s="3">
        <v>185</v>
      </c>
      <c r="C90" s="45" t="s">
        <v>314</v>
      </c>
      <c r="D90" s="7">
        <f>Eingesetzte_Brennstoffwärme_Biomasse*Eing_Rohstoffpreis_Biomasse</f>
        <v>97136.111111111124</v>
      </c>
      <c r="E90" s="1" t="s">
        <v>421</v>
      </c>
      <c r="M90" s="209"/>
      <c r="O90" s="2"/>
      <c r="P90" s="2"/>
      <c r="Q90" s="2"/>
      <c r="R90" s="2"/>
      <c r="S90" s="2"/>
      <c r="T90" s="2"/>
      <c r="U90" s="2"/>
      <c r="V90" s="2"/>
      <c r="W90" s="2"/>
      <c r="X90" s="2"/>
      <c r="Y90" s="2"/>
      <c r="Z90" s="2"/>
    </row>
    <row r="91" spans="1:26" ht="12.95" customHeight="1" x14ac:dyDescent="0.2">
      <c r="A91" s="3">
        <v>186</v>
      </c>
      <c r="C91" s="45" t="s">
        <v>315</v>
      </c>
      <c r="D91" s="7">
        <f>Eingesetzte_Brennstoffwärme_fossil*Eing_Rohstoffpreis_fossil</f>
        <v>31166.666666666668</v>
      </c>
      <c r="E91" s="1" t="s">
        <v>421</v>
      </c>
      <c r="M91" s="209"/>
      <c r="O91" s="2"/>
      <c r="P91" s="2"/>
      <c r="Q91" s="2"/>
      <c r="R91" s="2"/>
      <c r="S91" s="2"/>
      <c r="T91" s="2"/>
      <c r="U91" s="2"/>
      <c r="V91" s="2"/>
      <c r="W91" s="2"/>
      <c r="X91" s="2"/>
      <c r="Y91" s="2"/>
      <c r="Z91" s="2"/>
    </row>
    <row r="92" spans="1:26" ht="12.95" customHeight="1" x14ac:dyDescent="0.2">
      <c r="A92" s="3">
        <v>187</v>
      </c>
      <c r="C92" s="45" t="s">
        <v>316</v>
      </c>
      <c r="D92" s="7">
        <f>jährlicher_Stromverbrauch*Eing_Strompreis*1000</f>
        <v>6233.333333333333</v>
      </c>
      <c r="E92" s="1" t="s">
        <v>421</v>
      </c>
      <c r="M92" s="209"/>
      <c r="O92" s="2"/>
      <c r="P92" s="2"/>
      <c r="Q92" s="2"/>
      <c r="R92" s="2"/>
      <c r="S92" s="2"/>
      <c r="T92" s="2"/>
      <c r="U92" s="2"/>
      <c r="V92" s="2"/>
      <c r="W92" s="2"/>
      <c r="X92" s="2"/>
      <c r="Y92" s="2"/>
      <c r="Z92" s="2"/>
    </row>
    <row r="93" spans="1:26" ht="12.95" customHeight="1" x14ac:dyDescent="0.2">
      <c r="A93" s="219"/>
      <c r="C93" s="45"/>
      <c r="D93" s="234"/>
      <c r="E93" s="1"/>
      <c r="O93" s="2"/>
      <c r="P93" s="2"/>
      <c r="Q93" s="2"/>
      <c r="R93" s="2"/>
      <c r="S93" s="2"/>
      <c r="T93" s="2"/>
      <c r="U93" s="2"/>
      <c r="V93" s="2"/>
      <c r="W93" s="2"/>
      <c r="X93" s="2"/>
      <c r="Y93" s="2"/>
      <c r="Z93" s="2"/>
    </row>
    <row r="94" spans="1:26" ht="12.95" customHeight="1" x14ac:dyDescent="0.2">
      <c r="A94" s="3">
        <v>190</v>
      </c>
      <c r="C94" s="43" t="s">
        <v>317</v>
      </c>
      <c r="D94" s="7">
        <f>Gesamtinvestition</f>
        <v>1635000</v>
      </c>
      <c r="E94" s="1" t="s">
        <v>9</v>
      </c>
      <c r="M94" s="209"/>
      <c r="O94" s="2"/>
      <c r="P94" s="2"/>
      <c r="Q94" s="2"/>
      <c r="R94" s="2"/>
      <c r="S94" s="2"/>
      <c r="T94" s="2"/>
      <c r="U94" s="2"/>
      <c r="V94" s="2"/>
      <c r="W94" s="2"/>
      <c r="X94" s="2"/>
      <c r="Y94" s="2"/>
      <c r="Z94" s="2"/>
    </row>
    <row r="95" spans="1:26" ht="12.95" customHeight="1" x14ac:dyDescent="0.2">
      <c r="A95" s="3">
        <v>191</v>
      </c>
      <c r="C95" s="45" t="s">
        <v>318</v>
      </c>
      <c r="D95" s="7">
        <f>Einmaliger_Förderbeitrag_1+Einmaliger_Förderbeitrag_2+(jährlicher_Förderbeitrag*Eing_Förderung_wiederholend_Laufzeit)</f>
        <v>359000</v>
      </c>
      <c r="E95" s="1" t="s">
        <v>9</v>
      </c>
      <c r="M95" s="209"/>
      <c r="O95" s="2"/>
      <c r="P95" s="2"/>
      <c r="Q95" s="2"/>
      <c r="R95" s="2"/>
      <c r="S95" s="2"/>
      <c r="T95" s="2"/>
      <c r="U95" s="2"/>
      <c r="V95" s="2"/>
      <c r="W95" s="2"/>
      <c r="X95" s="2"/>
      <c r="Y95" s="2"/>
      <c r="Z95" s="2"/>
    </row>
    <row r="96" spans="1:26" ht="12.95" customHeight="1" x14ac:dyDescent="0.2">
      <c r="C96" s="1"/>
      <c r="D96" s="1"/>
      <c r="E96" s="1"/>
      <c r="R96" s="2"/>
      <c r="S96" s="2"/>
      <c r="T96" s="2"/>
      <c r="U96" s="2"/>
      <c r="V96" s="2"/>
      <c r="W96" s="2"/>
      <c r="X96" s="2"/>
      <c r="Y96" s="2"/>
      <c r="Z96" s="2"/>
    </row>
    <row r="97" spans="1:26" ht="12.95" customHeight="1" x14ac:dyDescent="0.2">
      <c r="A97" s="38">
        <v>192</v>
      </c>
      <c r="B97" s="5" t="s">
        <v>258</v>
      </c>
      <c r="C97" s="1"/>
      <c r="D97" s="235" t="s">
        <v>324</v>
      </c>
      <c r="E97" s="1"/>
      <c r="F97" s="68" t="s">
        <v>428</v>
      </c>
      <c r="R97" s="2"/>
      <c r="S97" s="2"/>
      <c r="T97" s="2"/>
      <c r="U97" s="2"/>
      <c r="V97" s="2"/>
      <c r="W97" s="2"/>
      <c r="X97" s="2"/>
      <c r="Y97" s="2"/>
      <c r="Z97" s="2"/>
    </row>
    <row r="98" spans="1:26" x14ac:dyDescent="0.2">
      <c r="A98" s="38">
        <v>193</v>
      </c>
      <c r="B98" s="1" t="s">
        <v>259</v>
      </c>
      <c r="C98" s="45" t="s">
        <v>319</v>
      </c>
      <c r="D98" s="7">
        <f>ROUND(PMT(Eing_Realzins/100,SUMPRODUCT(D48:D51,I48:I51)/SUM(D48:D51),SUM(D48:D51,0.5*Eing_Kosten_Planung_QM))*-1,0)</f>
        <v>35160</v>
      </c>
      <c r="E98" s="1" t="s">
        <v>421</v>
      </c>
      <c r="F98" s="1">
        <f t="shared" ref="F98:F104" si="9">ROUND(D98/Eing_verkaufteWM/10,2)</f>
        <v>1.88</v>
      </c>
      <c r="G98" s="1" t="s">
        <v>429</v>
      </c>
      <c r="M98" s="209"/>
      <c r="R98" s="2"/>
      <c r="S98" s="2"/>
      <c r="T98" s="2"/>
      <c r="U98" s="2"/>
      <c r="V98" s="2"/>
      <c r="W98" s="2"/>
      <c r="X98" s="2"/>
      <c r="Y98" s="2"/>
      <c r="Z98" s="2"/>
    </row>
    <row r="99" spans="1:26" x14ac:dyDescent="0.2">
      <c r="A99" s="38">
        <v>194</v>
      </c>
      <c r="C99" s="45" t="s">
        <v>320</v>
      </c>
      <c r="D99" s="7">
        <f>ROUND(PMT(Eing_Realzins/100,SUMPRODUCT(D52:D54,I52:I54)/SUM(D52:D54),SUM(D52:D54,0.5*Eing_Kosten_Planung_QM))*-1,0)</f>
        <v>28259</v>
      </c>
      <c r="E99" s="1" t="s">
        <v>421</v>
      </c>
      <c r="F99" s="1">
        <f t="shared" si="9"/>
        <v>1.51</v>
      </c>
      <c r="G99" s="1" t="s">
        <v>429</v>
      </c>
      <c r="M99" s="209"/>
      <c r="R99" s="2"/>
      <c r="S99" s="2"/>
      <c r="T99" s="2"/>
      <c r="U99" s="2"/>
      <c r="V99" s="2"/>
      <c r="W99" s="2"/>
      <c r="X99" s="2"/>
      <c r="Y99" s="2"/>
      <c r="Z99" s="2"/>
    </row>
    <row r="100" spans="1:26" x14ac:dyDescent="0.2">
      <c r="A100" s="38">
        <v>195</v>
      </c>
      <c r="C100" s="45" t="s">
        <v>321</v>
      </c>
      <c r="D100" s="7">
        <f>SUM(D35:D37,D39:D40)-D101</f>
        <v>35976.987447698746</v>
      </c>
      <c r="E100" s="1" t="s">
        <v>421</v>
      </c>
      <c r="F100" s="1">
        <f t="shared" si="9"/>
        <v>1.92</v>
      </c>
      <c r="G100" s="1" t="s">
        <v>429</v>
      </c>
      <c r="M100" s="209"/>
      <c r="R100" s="2"/>
      <c r="S100" s="2"/>
      <c r="T100" s="2"/>
      <c r="U100" s="2"/>
      <c r="V100" s="2"/>
      <c r="W100" s="2"/>
      <c r="X100" s="2"/>
      <c r="Y100" s="2"/>
      <c r="Z100" s="2"/>
    </row>
    <row r="101" spans="1:26" x14ac:dyDescent="0.2">
      <c r="A101" s="38">
        <v>196</v>
      </c>
      <c r="C101" s="45" t="s">
        <v>322</v>
      </c>
      <c r="D101" s="7">
        <f>(SUMPRODUCT(D52:D54,F52:F54)+0.5*Eing_Kosten_Planung_QM*F55)/100+((SUMPRODUCT(D52:D54,F52:F54)+0.5*Eing_Kosten_Planung_QM*F55)/100)/Eing_Unterhaltskosten*SUM(D35:D36,D39:D40)</f>
        <v>23323.012552301254</v>
      </c>
      <c r="E101" s="1" t="s">
        <v>421</v>
      </c>
      <c r="F101" s="1">
        <f t="shared" si="9"/>
        <v>1.25</v>
      </c>
      <c r="G101" s="1" t="s">
        <v>429</v>
      </c>
      <c r="M101" s="209"/>
      <c r="R101" s="2"/>
      <c r="S101" s="2"/>
      <c r="T101" s="2"/>
      <c r="U101" s="2"/>
      <c r="V101" s="2"/>
      <c r="W101" s="2"/>
      <c r="X101" s="2"/>
      <c r="Y101" s="2"/>
      <c r="Z101" s="2"/>
    </row>
    <row r="102" spans="1:26" x14ac:dyDescent="0.2">
      <c r="A102" s="38">
        <v>197</v>
      </c>
      <c r="C102" s="45" t="s">
        <v>323</v>
      </c>
      <c r="D102" s="7">
        <f>SUM(D90:D92)</f>
        <v>134536.11111111112</v>
      </c>
      <c r="E102" s="1" t="s">
        <v>421</v>
      </c>
      <c r="F102" s="1">
        <f t="shared" si="9"/>
        <v>7.19</v>
      </c>
      <c r="G102" s="1" t="s">
        <v>429</v>
      </c>
      <c r="M102" s="209"/>
      <c r="R102" s="2"/>
      <c r="S102" s="2"/>
      <c r="T102" s="2"/>
      <c r="U102" s="2"/>
      <c r="V102" s="2"/>
      <c r="W102" s="2"/>
      <c r="X102" s="2"/>
      <c r="Y102" s="2"/>
      <c r="Z102" s="2"/>
    </row>
    <row r="103" spans="1:26" x14ac:dyDescent="0.2">
      <c r="A103" s="38">
        <v>198</v>
      </c>
      <c r="C103" s="66" t="s">
        <v>324</v>
      </c>
      <c r="D103" s="58">
        <f>SUM(D98:D102)</f>
        <v>257255.11111111112</v>
      </c>
      <c r="E103" s="5" t="s">
        <v>421</v>
      </c>
      <c r="F103" s="5">
        <f t="shared" si="9"/>
        <v>13.76</v>
      </c>
      <c r="G103" s="5" t="s">
        <v>429</v>
      </c>
      <c r="M103" s="209"/>
      <c r="R103" s="2"/>
      <c r="S103" s="2"/>
      <c r="T103" s="2"/>
      <c r="U103" s="2"/>
      <c r="V103" s="2"/>
      <c r="W103" s="2"/>
      <c r="X103" s="2"/>
      <c r="Y103" s="2"/>
      <c r="Z103" s="2"/>
    </row>
    <row r="104" spans="1:26" x14ac:dyDescent="0.2">
      <c r="A104" s="38">
        <v>199</v>
      </c>
      <c r="C104" s="45" t="s">
        <v>325</v>
      </c>
      <c r="D104" s="7">
        <f>ROUND(PMT(Eing_Realzins/100,25,SUM(Einmaliger_Förderbeitrag_1,Einmaliger_Förderbeitrag_2,Eing_Förderung_wiederholend_Laufzeit*jährlicher_Förderbeitrag)),0)</f>
        <v>-18388</v>
      </c>
      <c r="E104" s="1" t="s">
        <v>421</v>
      </c>
      <c r="F104" s="1">
        <f t="shared" si="9"/>
        <v>-0.98</v>
      </c>
      <c r="G104" s="1" t="s">
        <v>429</v>
      </c>
      <c r="R104" s="2"/>
      <c r="S104" s="2"/>
      <c r="T104" s="2"/>
      <c r="U104" s="2"/>
      <c r="V104" s="2"/>
      <c r="W104" s="2"/>
      <c r="X104" s="2"/>
      <c r="Y104" s="2"/>
      <c r="Z104" s="2"/>
    </row>
    <row r="105" spans="1:26" x14ac:dyDescent="0.2">
      <c r="A105" s="38">
        <v>198</v>
      </c>
      <c r="C105" s="66" t="s">
        <v>326</v>
      </c>
      <c r="D105" s="7">
        <f>SUM(D103:D104)</f>
        <v>238867.11111111112</v>
      </c>
      <c r="E105" s="5" t="s">
        <v>421</v>
      </c>
      <c r="F105" s="273">
        <f>SUM(F103:F104)</f>
        <v>12.78</v>
      </c>
      <c r="G105" s="5" t="s">
        <v>429</v>
      </c>
      <c r="R105" s="2"/>
      <c r="S105" s="2"/>
      <c r="T105" s="2"/>
      <c r="U105" s="2"/>
      <c r="V105" s="2"/>
      <c r="W105" s="2"/>
      <c r="X105" s="2"/>
      <c r="Y105" s="2"/>
      <c r="Z105" s="2"/>
    </row>
    <row r="106" spans="1:26" x14ac:dyDescent="0.2">
      <c r="C106" s="1"/>
      <c r="D106" s="1"/>
      <c r="E106" s="1"/>
      <c r="R106" s="2"/>
      <c r="S106" s="2"/>
      <c r="T106" s="2"/>
      <c r="U106" s="2"/>
      <c r="V106" s="2"/>
      <c r="W106" s="2"/>
      <c r="X106" s="2"/>
      <c r="Y106" s="2"/>
      <c r="Z106" s="2"/>
    </row>
    <row r="107" spans="1:26" hidden="1" x14ac:dyDescent="0.2">
      <c r="C107" s="1"/>
      <c r="D107" s="1"/>
      <c r="E107" s="1"/>
      <c r="R107" s="2"/>
      <c r="S107" s="2"/>
      <c r="T107" s="2"/>
      <c r="U107" s="2"/>
      <c r="V107" s="2"/>
      <c r="W107" s="2"/>
      <c r="X107" s="2"/>
      <c r="Y107" s="2"/>
      <c r="Z107" s="2"/>
    </row>
    <row r="108" spans="1:26" hidden="1" x14ac:dyDescent="0.2">
      <c r="C108" s="1"/>
      <c r="D108" s="1"/>
      <c r="E108" s="1"/>
      <c r="R108" s="2"/>
      <c r="S108" s="2"/>
      <c r="T108" s="2"/>
      <c r="U108" s="2"/>
      <c r="V108" s="2"/>
      <c r="W108" s="2"/>
      <c r="X108" s="2"/>
      <c r="Y108" s="2"/>
      <c r="Z108" s="2"/>
    </row>
    <row r="109" spans="1:26" hidden="1" x14ac:dyDescent="0.2">
      <c r="C109" s="1"/>
      <c r="D109" s="1"/>
      <c r="E109" s="1"/>
      <c r="R109" s="2"/>
      <c r="S109" s="2"/>
      <c r="T109" s="2"/>
      <c r="U109" s="2"/>
      <c r="V109" s="2"/>
      <c r="W109" s="2"/>
      <c r="X109" s="2"/>
      <c r="Y109" s="2"/>
      <c r="Z109" s="2"/>
    </row>
    <row r="110" spans="1:26" hidden="1" x14ac:dyDescent="0.2">
      <c r="C110" s="1"/>
      <c r="D110" s="1"/>
      <c r="E110" s="1"/>
      <c r="R110" s="2"/>
      <c r="S110" s="2"/>
      <c r="T110" s="2"/>
      <c r="U110" s="2"/>
      <c r="V110" s="2"/>
      <c r="W110" s="2"/>
      <c r="X110" s="2"/>
      <c r="Y110" s="2"/>
      <c r="Z110" s="2"/>
    </row>
    <row r="111" spans="1:26" hidden="1" x14ac:dyDescent="0.2">
      <c r="C111" s="1"/>
      <c r="D111" s="1"/>
      <c r="E111" s="1"/>
      <c r="R111" s="2"/>
      <c r="S111" s="2"/>
      <c r="T111" s="2"/>
      <c r="U111" s="2"/>
      <c r="V111" s="2"/>
      <c r="W111" s="2"/>
      <c r="X111" s="2"/>
      <c r="Y111" s="2"/>
      <c r="Z111" s="2"/>
    </row>
    <row r="112" spans="1:26" hidden="1" x14ac:dyDescent="0.2">
      <c r="C112" s="1"/>
      <c r="D112" s="1"/>
      <c r="E112" s="1"/>
      <c r="O112" s="2"/>
      <c r="P112" s="2"/>
      <c r="Q112" s="2"/>
      <c r="R112" s="2"/>
      <c r="S112" s="2"/>
      <c r="T112" s="2"/>
      <c r="U112" s="2"/>
      <c r="V112" s="2"/>
      <c r="W112" s="2"/>
      <c r="X112" s="2"/>
      <c r="Y112" s="2"/>
      <c r="Z112" s="2"/>
    </row>
    <row r="113" spans="3:26" hidden="1" x14ac:dyDescent="0.2">
      <c r="C113" s="1"/>
      <c r="D113" s="1"/>
      <c r="E113" s="1"/>
      <c r="O113" s="2"/>
      <c r="P113" s="2"/>
      <c r="Q113" s="2"/>
      <c r="R113" s="2"/>
      <c r="S113" s="2"/>
      <c r="T113" s="2"/>
      <c r="U113" s="2"/>
      <c r="V113" s="2"/>
      <c r="W113" s="2"/>
      <c r="X113" s="2"/>
      <c r="Y113" s="2"/>
      <c r="Z113" s="2"/>
    </row>
    <row r="114" spans="3:26" hidden="1" x14ac:dyDescent="0.2">
      <c r="C114" s="1"/>
      <c r="D114" s="1"/>
      <c r="E114" s="1"/>
      <c r="O114" s="2"/>
      <c r="P114" s="2"/>
      <c r="Q114" s="2"/>
      <c r="R114" s="2"/>
      <c r="S114" s="2"/>
      <c r="T114" s="2"/>
      <c r="U114" s="2"/>
      <c r="V114" s="2"/>
      <c r="W114" s="2"/>
      <c r="X114" s="2"/>
      <c r="Y114" s="2"/>
      <c r="Z114" s="2"/>
    </row>
    <row r="115" spans="3:26" hidden="1" x14ac:dyDescent="0.2">
      <c r="C115" s="1"/>
      <c r="D115" s="1"/>
      <c r="E115" s="1"/>
      <c r="O115" s="2"/>
      <c r="P115" s="2"/>
      <c r="Q115" s="2"/>
      <c r="R115" s="2"/>
      <c r="S115" s="2"/>
      <c r="T115" s="2"/>
      <c r="U115" s="2"/>
      <c r="V115" s="2"/>
      <c r="W115" s="2"/>
      <c r="X115" s="2"/>
      <c r="Y115" s="2"/>
      <c r="Z115" s="2"/>
    </row>
    <row r="116" spans="3:26" hidden="1" x14ac:dyDescent="0.2">
      <c r="C116" s="1"/>
      <c r="D116" s="1"/>
      <c r="E116" s="1"/>
      <c r="O116" s="2"/>
      <c r="P116" s="2"/>
      <c r="Q116" s="2"/>
      <c r="R116" s="2"/>
      <c r="S116" s="2"/>
      <c r="T116" s="2"/>
      <c r="U116" s="2"/>
      <c r="V116" s="2"/>
      <c r="W116" s="2"/>
      <c r="X116" s="2"/>
      <c r="Y116" s="2"/>
      <c r="Z116" s="2"/>
    </row>
    <row r="117" spans="3:26" hidden="1" x14ac:dyDescent="0.2">
      <c r="C117" s="1"/>
      <c r="D117" s="1"/>
      <c r="E117" s="1"/>
      <c r="O117" s="2"/>
      <c r="P117" s="2"/>
      <c r="Q117" s="2"/>
      <c r="R117" s="2"/>
      <c r="S117" s="2"/>
      <c r="T117" s="2"/>
      <c r="U117" s="2"/>
      <c r="V117" s="2"/>
      <c r="W117" s="2"/>
      <c r="X117" s="2"/>
      <c r="Y117" s="2"/>
      <c r="Z117" s="2"/>
    </row>
    <row r="118" spans="3:26" hidden="1" x14ac:dyDescent="0.2">
      <c r="C118" s="1"/>
      <c r="D118" s="1"/>
      <c r="E118" s="1"/>
      <c r="O118" s="2"/>
      <c r="P118" s="2"/>
      <c r="Q118" s="2"/>
      <c r="R118" s="2"/>
      <c r="S118" s="2"/>
      <c r="T118" s="2"/>
      <c r="U118" s="2"/>
      <c r="V118" s="2"/>
      <c r="W118" s="2"/>
      <c r="X118" s="2"/>
      <c r="Y118" s="2"/>
      <c r="Z118" s="2"/>
    </row>
    <row r="119" spans="3:26" hidden="1" x14ac:dyDescent="0.2">
      <c r="C119" s="1"/>
      <c r="D119" s="1"/>
      <c r="E119" s="1"/>
      <c r="O119" s="2"/>
      <c r="P119" s="2"/>
      <c r="Q119" s="2"/>
      <c r="R119" s="2"/>
      <c r="S119" s="2"/>
      <c r="T119" s="2"/>
      <c r="U119" s="2"/>
      <c r="V119" s="2"/>
      <c r="W119" s="2"/>
      <c r="X119" s="2"/>
      <c r="Y119" s="2"/>
      <c r="Z119" s="2"/>
    </row>
    <row r="120" spans="3:26" hidden="1" x14ac:dyDescent="0.2">
      <c r="C120" s="1"/>
      <c r="D120" s="1"/>
      <c r="E120" s="1"/>
      <c r="O120" s="2"/>
      <c r="P120" s="2"/>
      <c r="Q120" s="2"/>
      <c r="R120" s="2"/>
      <c r="S120" s="2"/>
      <c r="T120" s="2"/>
      <c r="U120" s="2"/>
      <c r="V120" s="2"/>
      <c r="W120" s="2"/>
      <c r="X120" s="2"/>
      <c r="Y120" s="2"/>
      <c r="Z120" s="2"/>
    </row>
  </sheetData>
  <sheetProtection algorithmName="SHA-512" hashValue="2toui1PEydfH4j2i22sGp/bTbuCTAAHP+p9V3+2kq143K0amUOgfGxws6FcicL+tk1vki6xK7gPsHUIDBh4tLQ==" saltValue="k2Ftk5HUh2j1egitI1hEFQ==" spinCount="100000" sheet="1" objects="1" scenarios="1"/>
  <phoneticPr fontId="9" type="noConversion"/>
  <dataValidations disablePrompts="1" count="1">
    <dataValidation type="whole" operator="greaterThan" allowBlank="1" showErrorMessage="1" errorTitle="Zahl grösser 0 eintragen" error="Nutzungsdauer in Jahre eintragen (&gt;0)" sqref="I48:I54" xr:uid="{00000000-0002-0000-0100-000000000000}">
      <formula1>0</formula1>
    </dataValidation>
  </dataValidations>
  <hyperlinks>
    <hyperlink ref="A1" location="I1_100" display="I1_100" xr:uid="{00000000-0004-0000-0100-000000000000}"/>
    <hyperlink ref="A4" location="I1_102" display="I1_102" xr:uid="{00000000-0004-0000-0100-000001000000}"/>
    <hyperlink ref="A5" location="I1_105" display="I1_105" xr:uid="{00000000-0004-0000-0100-000002000000}"/>
    <hyperlink ref="A7" location="I1_106" display="I1_106" xr:uid="{00000000-0004-0000-0100-000003000000}"/>
    <hyperlink ref="A11" location="I1_107" display="I1_107" xr:uid="{00000000-0004-0000-0100-000004000000}"/>
    <hyperlink ref="A13" location="I1_108" display="I1_108" xr:uid="{00000000-0004-0000-0100-000005000000}"/>
    <hyperlink ref="A16" location="I1_110" display="I1_110" xr:uid="{00000000-0004-0000-0100-000006000000}"/>
    <hyperlink ref="A17" location="I1_111" display="I1_111" xr:uid="{00000000-0004-0000-0100-000007000000}"/>
    <hyperlink ref="A18" location="I1_112" display="I1_112" xr:uid="{00000000-0004-0000-0100-000008000000}"/>
    <hyperlink ref="A21" location="I1_114" display="I1_114" xr:uid="{00000000-0004-0000-0100-000009000000}"/>
    <hyperlink ref="A22" location="I1_115" display="I1_115" xr:uid="{00000000-0004-0000-0100-00000A000000}"/>
    <hyperlink ref="A24" location="I1_120" display="I1_120" xr:uid="{00000000-0004-0000-0100-00000B000000}"/>
    <hyperlink ref="A25" location="I1_121" display="I1_121" xr:uid="{00000000-0004-0000-0100-00000C000000}"/>
    <hyperlink ref="A26" location="I1_122" display="I1_122" xr:uid="{00000000-0004-0000-0100-00000D000000}"/>
    <hyperlink ref="A27" location="I1_123" display="I1_123" xr:uid="{00000000-0004-0000-0100-00000E000000}"/>
    <hyperlink ref="A28" location="I1_124" display="I1_124" xr:uid="{00000000-0004-0000-0100-00000F000000}"/>
    <hyperlink ref="A29" location="I1_125" display="I1_125" xr:uid="{00000000-0004-0000-0100-000010000000}"/>
    <hyperlink ref="A31" location="I1_126" display="I1_126" xr:uid="{00000000-0004-0000-0100-000011000000}"/>
    <hyperlink ref="A32" location="I1_127" display="I1_127" xr:uid="{00000000-0004-0000-0100-000012000000}"/>
    <hyperlink ref="A35" location="I1_130" display="I1_130" xr:uid="{00000000-0004-0000-0100-000013000000}"/>
    <hyperlink ref="A36" location="I1_131" display="I1_131" xr:uid="{00000000-0004-0000-0100-000014000000}"/>
    <hyperlink ref="A37" location="I1_132" display="I1_132" xr:uid="{00000000-0004-0000-0100-000015000000}"/>
    <hyperlink ref="A39" location="I1_135" display="I1_135" xr:uid="{00000000-0004-0000-0100-000016000000}"/>
    <hyperlink ref="A40" location="I1_136" display="I1_136" xr:uid="{00000000-0004-0000-0100-000017000000}"/>
    <hyperlink ref="A41" location="I1_137" display="I1_137" xr:uid="{00000000-0004-0000-0100-000018000000}"/>
    <hyperlink ref="A45" location="I1_140" display="I1_140" xr:uid="{00000000-0004-0000-0100-000019000000}"/>
    <hyperlink ref="D45" location="I1_141" display="I1_141" xr:uid="{00000000-0004-0000-0100-00001A000000}"/>
    <hyperlink ref="F45:G45" location="I1_142" display="I1_142" xr:uid="{00000000-0004-0000-0100-00001B000000}"/>
    <hyperlink ref="I45" location="I1_143" display="I1_143" xr:uid="{00000000-0004-0000-0100-00001C000000}"/>
    <hyperlink ref="A3" location="I1_101" display="I1_101" xr:uid="{00000000-0004-0000-0100-00001D000000}"/>
    <hyperlink ref="A47" location="I1_150" display="I1_150" xr:uid="{00000000-0004-0000-0100-00001E000000}"/>
    <hyperlink ref="A48" location="I1_151" display="I1_151" xr:uid="{00000000-0004-0000-0100-00001F000000}"/>
    <hyperlink ref="A49" location="I1_152" display="I1_152" xr:uid="{00000000-0004-0000-0100-000020000000}"/>
    <hyperlink ref="A50" location="I1_153" display="I1_153" xr:uid="{00000000-0004-0000-0100-000021000000}"/>
    <hyperlink ref="A51" location="I1_154" display="I1_154" xr:uid="{00000000-0004-0000-0100-000022000000}"/>
    <hyperlink ref="A52" location="I1_155" display="I1_155" xr:uid="{00000000-0004-0000-0100-000023000000}"/>
    <hyperlink ref="A53" location="I1_156" display="I1_156" xr:uid="{00000000-0004-0000-0100-000024000000}"/>
    <hyperlink ref="A54" location="I1_157" display="I1_157" xr:uid="{00000000-0004-0000-0100-000025000000}"/>
    <hyperlink ref="A55" location="I1_158" display="I1_158" xr:uid="{00000000-0004-0000-0100-000026000000}"/>
    <hyperlink ref="A56" location="I1_159" display="I1_159" xr:uid="{00000000-0004-0000-0100-000027000000}"/>
    <hyperlink ref="A57" location="I1_160" display="I1_160" xr:uid="{00000000-0004-0000-0100-000028000000}"/>
    <hyperlink ref="A58" location="I1_161" display="I1_161" xr:uid="{00000000-0004-0000-0100-000029000000}"/>
    <hyperlink ref="A59" location="I1_162" display="I1_162" xr:uid="{00000000-0004-0000-0100-00002A000000}"/>
    <hyperlink ref="A60" location="I1_163" display="I1_163" xr:uid="{00000000-0004-0000-0100-00002B000000}"/>
    <hyperlink ref="A62" location="I1_165" display="I1_165" xr:uid="{00000000-0004-0000-0100-00002C000000}"/>
    <hyperlink ref="A63" location="I1_166" display="I1_166" xr:uid="{00000000-0004-0000-0100-00002D000000}"/>
    <hyperlink ref="A64" location="I1_167" display="I1_167" xr:uid="{00000000-0004-0000-0100-00002E000000}"/>
    <hyperlink ref="A65" location="I1_168" display="I1_168" xr:uid="{00000000-0004-0000-0100-00002F000000}"/>
    <hyperlink ref="A66" location="I1_169" display="I1_169" xr:uid="{00000000-0004-0000-0100-000030000000}"/>
    <hyperlink ref="A69" location="I1_166" display="I1_166" xr:uid="{00000000-0004-0000-0100-000031000000}"/>
    <hyperlink ref="A70" location="I1_167" display="I1_167" xr:uid="{00000000-0004-0000-0100-000032000000}"/>
    <hyperlink ref="A71" location="I1_168" display="I1_168" xr:uid="{00000000-0004-0000-0100-000033000000}"/>
    <hyperlink ref="A72" location="I1_169" display="I1_169" xr:uid="{00000000-0004-0000-0100-000034000000}"/>
    <hyperlink ref="A74" location="I1_170" display="I1_170" xr:uid="{00000000-0004-0000-0100-000035000000}"/>
    <hyperlink ref="A75" location="I1_171" display="I1_171" xr:uid="{00000000-0004-0000-0100-000036000000}"/>
    <hyperlink ref="A76" location="I1_172" display="I1_172" xr:uid="{00000000-0004-0000-0100-000037000000}"/>
    <hyperlink ref="A77" location="I1_173" display="I1_173" xr:uid="{00000000-0004-0000-0100-000038000000}"/>
    <hyperlink ref="A78" location="I1_174" display="I1_174" xr:uid="{00000000-0004-0000-0100-000039000000}"/>
    <hyperlink ref="A79" location="I1_175" display="I1_175" xr:uid="{00000000-0004-0000-0100-00003A000000}"/>
    <hyperlink ref="A80" location="I1_176" display="I1_176" xr:uid="{00000000-0004-0000-0100-00003B000000}"/>
    <hyperlink ref="A81" location="I1_177" display="I1_177" xr:uid="{00000000-0004-0000-0100-00003C000000}"/>
    <hyperlink ref="A82" location="I1_178" display="I1_178" xr:uid="{00000000-0004-0000-0100-00003D000000}"/>
    <hyperlink ref="A83" location="I1_179" display="I1_179" xr:uid="{00000000-0004-0000-0100-00003E000000}"/>
    <hyperlink ref="A85" location="I1_180" display="I1_180" xr:uid="{00000000-0004-0000-0100-00003F000000}"/>
    <hyperlink ref="A86" location="I1_181" display="I1_181" xr:uid="{00000000-0004-0000-0100-000040000000}"/>
    <hyperlink ref="A87" location="I1_182" display="I1_182" xr:uid="{00000000-0004-0000-0100-000041000000}"/>
    <hyperlink ref="A88" location="I1_183" display="I1_183" xr:uid="{00000000-0004-0000-0100-000042000000}"/>
    <hyperlink ref="A89" location="I1_184" display="I1_184" xr:uid="{00000000-0004-0000-0100-000043000000}"/>
    <hyperlink ref="A90" location="I1_185" display="I1_185" xr:uid="{00000000-0004-0000-0100-000044000000}"/>
    <hyperlink ref="A91" location="I1_186" display="I1_186" xr:uid="{00000000-0004-0000-0100-000045000000}"/>
    <hyperlink ref="A92" location="I1_187" display="I1_187" xr:uid="{00000000-0004-0000-0100-000046000000}"/>
    <hyperlink ref="A94" location="I1_190" display="I1_190" xr:uid="{00000000-0004-0000-0100-000047000000}"/>
    <hyperlink ref="A95" location="I1_191" display="I1_191" xr:uid="{00000000-0004-0000-0100-000048000000}"/>
    <hyperlink ref="A19" location="i1_113" display="i1_113" xr:uid="{93F1B421-60E4-442E-B2A7-5895F512789B}"/>
    <hyperlink ref="A42" location="I1_138" display="I1_138" xr:uid="{D3AC80E1-5D4F-4D33-B91E-70DB97563069}"/>
    <hyperlink ref="A43" location="I1_139" display="I1_139" xr:uid="{7D624401-FA26-482C-8EF8-5012FD5168C1}"/>
    <hyperlink ref="A97" location="I1_192" display="I1_192" xr:uid="{8A41F2B5-1F9B-4BDB-A0A1-10AF1436F88D}"/>
    <hyperlink ref="A98" location="I1_193" display="I1_193" xr:uid="{BAA45EF2-0B21-4677-BD7F-5E25C36B23CB}"/>
    <hyperlink ref="A99" location="I1_194" display="I1_194" xr:uid="{2E772FFC-23F0-45D4-8AE4-2C466B0329A6}"/>
    <hyperlink ref="A100" location="I1_195" display="I1_195" xr:uid="{D4557628-498D-476E-B135-895D886AC759}"/>
    <hyperlink ref="A101" location="I1_196" display="I1_196" xr:uid="{8A52A136-B451-49E7-9312-6AAE14E28671}"/>
    <hyperlink ref="A102" location="I1_197" display="I1_197" xr:uid="{2E5A9AE8-4136-4186-B9BC-F6069934F1B4}"/>
    <hyperlink ref="A103" location="I1_198" display="I1_198" xr:uid="{D11800CC-49C7-4D4C-A2C9-2307050E8461}"/>
    <hyperlink ref="A104" location="I1_199" display="I1_199" xr:uid="{E4236A8A-5B0B-4932-A4F2-595460CEF0A5}"/>
    <hyperlink ref="A105" location="I1_198" display="I1_198" xr:uid="{A263EC33-3EBC-4B29-9A78-3398C28AE9A3}"/>
  </hyperlinks>
  <pageMargins left="0.78740157480314965" right="0.6692913385826772" top="1.1417322834645669" bottom="1.3385826771653544" header="0.51181102362204722" footer="0.51181102362204722"/>
  <pageSetup paperSize="9" scale="54" fitToHeight="0" orientation="portrait" r:id="rId1"/>
  <headerFooter alignWithMargins="0">
    <oddHeader>&amp;L&amp;G&amp;R&amp;G</oddHeader>
    <oddFooter>&amp;L&amp;"Arial,Standard"&amp;10&amp;F&amp;C&amp;"Arial,Standard"&amp;10&amp;P / &amp;N &amp;R&amp;"Arial,Standard"&amp;10&amp;D</oddFooter>
  </headerFooter>
  <rowBreaks count="1" manualBreakCount="1">
    <brk id="83"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pageSetUpPr fitToPage="1"/>
  </sheetPr>
  <dimension ref="A1:K41"/>
  <sheetViews>
    <sheetView zoomScaleNormal="100" workbookViewId="0">
      <selection activeCell="D14" sqref="D14"/>
    </sheetView>
  </sheetViews>
  <sheetFormatPr baseColWidth="10" defaultColWidth="0" defaultRowHeight="12.75" zeroHeight="1" x14ac:dyDescent="0.2"/>
  <cols>
    <col min="1" max="1" width="3.85546875" style="1" customWidth="1"/>
    <col min="2" max="2" width="10.85546875" style="1" customWidth="1"/>
    <col min="3" max="3" width="3.7109375" style="1" customWidth="1"/>
    <col min="4" max="4" width="16.7109375" style="1" customWidth="1"/>
    <col min="5" max="5" width="6.85546875" style="1" customWidth="1"/>
    <col min="6" max="6" width="12.28515625" style="1" customWidth="1"/>
    <col min="7" max="8" width="10.85546875" style="1" customWidth="1"/>
    <col min="9" max="9" width="17.28515625" style="1" customWidth="1"/>
    <col min="10" max="10" width="2.140625" style="2" customWidth="1"/>
    <col min="11" max="11" width="40.7109375" style="1" customWidth="1"/>
    <col min="12" max="16384" width="10.85546875" style="1" hidden="1"/>
  </cols>
  <sheetData>
    <row r="1" spans="1:11" ht="17.100000000000001" customHeight="1" x14ac:dyDescent="0.25">
      <c r="A1" s="3">
        <v>200</v>
      </c>
      <c r="B1" s="259" t="s">
        <v>430</v>
      </c>
    </row>
    <row r="2" spans="1:11" ht="12.95" customHeight="1" x14ac:dyDescent="0.2">
      <c r="B2" s="5"/>
    </row>
    <row r="3" spans="1:11" ht="12.95" customHeight="1" x14ac:dyDescent="0.2">
      <c r="A3" s="3">
        <v>101</v>
      </c>
      <c r="D3" s="42" t="s">
        <v>260</v>
      </c>
    </row>
    <row r="4" spans="1:11" ht="12.95" customHeight="1" x14ac:dyDescent="0.2">
      <c r="A4" s="3">
        <v>105</v>
      </c>
      <c r="B4" s="1" t="s">
        <v>246</v>
      </c>
    </row>
    <row r="5" spans="1:11" s="5" customFormat="1" ht="12.95" customHeight="1" x14ac:dyDescent="0.2">
      <c r="A5" s="1"/>
      <c r="E5" s="9"/>
      <c r="H5" s="202"/>
      <c r="I5" s="1"/>
      <c r="J5" s="2"/>
      <c r="K5" s="1"/>
    </row>
    <row r="6" spans="1:11" ht="12.95" customHeight="1" x14ac:dyDescent="0.2">
      <c r="A6" s="3">
        <v>206</v>
      </c>
      <c r="B6" s="5" t="s">
        <v>247</v>
      </c>
      <c r="D6" s="276" t="str">
        <f>IF('E1_Données de projet'!C7=0,"",'E1_Données de projet'!C7)</f>
        <v>QMH projet example 2</v>
      </c>
      <c r="E6" s="276"/>
      <c r="F6" s="276"/>
      <c r="G6" s="276"/>
      <c r="H6" s="276"/>
      <c r="I6" s="276"/>
    </row>
    <row r="7" spans="1:11" ht="12.95" customHeight="1" x14ac:dyDescent="0.2">
      <c r="B7" s="5"/>
      <c r="D7" s="276" t="str">
        <f>IF('E1_Données de projet'!C8=0,"",'E1_Données de projet'!C8)</f>
        <v>Modèle de rentabilité</v>
      </c>
      <c r="E7" s="276"/>
      <c r="F7" s="276"/>
      <c r="G7" s="276"/>
      <c r="H7" s="276"/>
      <c r="I7" s="276"/>
    </row>
    <row r="8" spans="1:11" ht="12.95" customHeight="1" x14ac:dyDescent="0.2">
      <c r="B8" s="5"/>
      <c r="D8" s="276" t="str">
        <f>IF('E1_Données de projet'!C9=0,"",'E1_Données de projet'!C9)</f>
        <v>CP / lieu</v>
      </c>
      <c r="E8" s="276"/>
      <c r="F8" s="276"/>
      <c r="G8" s="276"/>
      <c r="H8" s="276"/>
      <c r="I8" s="276"/>
    </row>
    <row r="9" spans="1:11" ht="12.95" customHeight="1" x14ac:dyDescent="0.2">
      <c r="B9" s="5"/>
    </row>
    <row r="10" spans="1:11" s="5" customFormat="1" ht="12.95" customHeight="1" x14ac:dyDescent="0.2">
      <c r="A10" s="171">
        <v>207</v>
      </c>
      <c r="B10" s="175" t="s">
        <v>248</v>
      </c>
      <c r="C10" s="172"/>
      <c r="D10" s="277" t="str">
        <f>IF('E1_Données de projet'!C11=0,"",'E1_Données de projet'!C11)</f>
        <v>date, nome</v>
      </c>
      <c r="E10" s="277"/>
      <c r="F10" s="277"/>
      <c r="G10" s="277"/>
      <c r="H10" s="277"/>
      <c r="I10" s="277"/>
      <c r="J10" s="2"/>
      <c r="K10" s="1"/>
    </row>
    <row r="11" spans="1:11" s="5" customFormat="1" ht="12.95" customHeight="1" x14ac:dyDescent="0.2">
      <c r="A11" s="1"/>
      <c r="E11" s="9"/>
      <c r="H11" s="202"/>
      <c r="I11" s="1"/>
      <c r="J11" s="2"/>
      <c r="K11" s="1"/>
    </row>
    <row r="12" spans="1:11" ht="12.95" customHeight="1" x14ac:dyDescent="0.2">
      <c r="A12" s="3">
        <v>210</v>
      </c>
      <c r="B12" s="5" t="s">
        <v>431</v>
      </c>
      <c r="K12" s="5" t="s">
        <v>416</v>
      </c>
    </row>
    <row r="13" spans="1:11" ht="12.95" customHeight="1" thickBot="1" x14ac:dyDescent="0.25"/>
    <row r="14" spans="1:11" ht="12.95" customHeight="1" x14ac:dyDescent="0.2">
      <c r="A14" s="3">
        <v>211</v>
      </c>
      <c r="B14" s="203" t="s">
        <v>13</v>
      </c>
      <c r="C14" s="204"/>
      <c r="D14" s="205" t="s">
        <v>561</v>
      </c>
      <c r="E14" s="206"/>
      <c r="F14" s="204"/>
      <c r="G14" s="207">
        <f>SUMPRODUCT(E3_Consommateurs!$D$18:$XFD$18*(E3_Consommateurs!$D$22:$XFD$22="T 1: "&amp;Eing_Abnehmerart1))/Eing_verkaufteWM*100</f>
        <v>4.8128342245989302</v>
      </c>
      <c r="H14" s="204" t="s">
        <v>435</v>
      </c>
      <c r="I14" s="208"/>
      <c r="K14" s="209"/>
    </row>
    <row r="15" spans="1:11" ht="12.95" customHeight="1" x14ac:dyDescent="0.2">
      <c r="A15" s="3">
        <v>212</v>
      </c>
      <c r="B15" s="210"/>
      <c r="F15" s="45" t="s">
        <v>432</v>
      </c>
      <c r="G15" s="209">
        <v>110</v>
      </c>
      <c r="H15" s="1" t="s">
        <v>436</v>
      </c>
      <c r="I15" s="211"/>
      <c r="K15" s="209"/>
    </row>
    <row r="16" spans="1:11" ht="12.95" customHeight="1" x14ac:dyDescent="0.2">
      <c r="A16" s="3">
        <v>213</v>
      </c>
      <c r="B16" s="210"/>
      <c r="F16" s="45" t="s">
        <v>433</v>
      </c>
      <c r="G16" s="209">
        <v>0.1</v>
      </c>
      <c r="H16" s="1" t="s">
        <v>11</v>
      </c>
      <c r="I16" s="211"/>
      <c r="K16" s="209"/>
    </row>
    <row r="17" spans="1:11" ht="12.95" customHeight="1" x14ac:dyDescent="0.2">
      <c r="A17" s="3">
        <v>214</v>
      </c>
      <c r="B17" s="210"/>
      <c r="F17" s="45" t="s">
        <v>434</v>
      </c>
      <c r="G17" s="209">
        <v>30</v>
      </c>
      <c r="H17" s="1" t="s">
        <v>425</v>
      </c>
      <c r="I17" s="211"/>
      <c r="K17" s="209"/>
    </row>
    <row r="18" spans="1:11" ht="12.95" customHeight="1" thickBot="1" x14ac:dyDescent="0.25">
      <c r="B18" s="212"/>
      <c r="C18" s="213"/>
      <c r="D18" s="213"/>
      <c r="E18" s="213"/>
      <c r="F18" s="213"/>
      <c r="G18" s="213"/>
      <c r="H18" s="213"/>
      <c r="I18" s="214"/>
    </row>
    <row r="19" spans="1:11" ht="12.95" customHeight="1" thickBot="1" x14ac:dyDescent="0.25"/>
    <row r="20" spans="1:11" ht="12.95" customHeight="1" x14ac:dyDescent="0.2">
      <c r="A20" s="3">
        <v>221</v>
      </c>
      <c r="B20" s="203" t="s">
        <v>14</v>
      </c>
      <c r="C20" s="204"/>
      <c r="D20" s="205" t="s">
        <v>562</v>
      </c>
      <c r="E20" s="206"/>
      <c r="F20" s="204"/>
      <c r="G20" s="215">
        <f>SUMPRODUCT(E3_Consommateurs!$D$18:$XFD$18*(E3_Consommateurs!$D$22:$XFD$22="T 2: "&amp;Eing_Abnehmerart2))/Eing_verkaufteWM*100</f>
        <v>14.973262032085561</v>
      </c>
      <c r="H20" s="204" t="s">
        <v>435</v>
      </c>
      <c r="I20" s="208"/>
      <c r="K20" s="209"/>
    </row>
    <row r="21" spans="1:11" ht="12.95" customHeight="1" x14ac:dyDescent="0.2">
      <c r="A21" s="3">
        <v>222</v>
      </c>
      <c r="B21" s="210"/>
      <c r="F21" s="45" t="s">
        <v>432</v>
      </c>
      <c r="G21" s="209">
        <v>85</v>
      </c>
      <c r="H21" s="1" t="s">
        <v>436</v>
      </c>
      <c r="I21" s="211"/>
      <c r="K21" s="209"/>
    </row>
    <row r="22" spans="1:11" ht="12.95" customHeight="1" x14ac:dyDescent="0.2">
      <c r="A22" s="3">
        <v>223</v>
      </c>
      <c r="B22" s="210"/>
      <c r="F22" s="45" t="s">
        <v>433</v>
      </c>
      <c r="G22" s="209">
        <v>0.1</v>
      </c>
      <c r="H22" s="1" t="s">
        <v>11</v>
      </c>
      <c r="I22" s="211"/>
      <c r="K22" s="209"/>
    </row>
    <row r="23" spans="1:11" ht="12.95" customHeight="1" x14ac:dyDescent="0.2">
      <c r="A23" s="3">
        <v>224</v>
      </c>
      <c r="B23" s="210"/>
      <c r="F23" s="45" t="s">
        <v>434</v>
      </c>
      <c r="G23" s="209">
        <v>20</v>
      </c>
      <c r="H23" s="1" t="s">
        <v>425</v>
      </c>
      <c r="I23" s="211"/>
      <c r="K23" s="209"/>
    </row>
    <row r="24" spans="1:11" ht="12.95" customHeight="1" thickBot="1" x14ac:dyDescent="0.25">
      <c r="B24" s="212"/>
      <c r="C24" s="213"/>
      <c r="D24" s="213"/>
      <c r="E24" s="213"/>
      <c r="F24" s="213"/>
      <c r="G24" s="213"/>
      <c r="H24" s="213"/>
      <c r="I24" s="214"/>
    </row>
    <row r="25" spans="1:11" ht="12.95" customHeight="1" thickBot="1" x14ac:dyDescent="0.25"/>
    <row r="26" spans="1:11" ht="12.95" customHeight="1" x14ac:dyDescent="0.2">
      <c r="A26" s="3">
        <v>231</v>
      </c>
      <c r="B26" s="203" t="s">
        <v>15</v>
      </c>
      <c r="C26" s="204"/>
      <c r="D26" s="205" t="s">
        <v>563</v>
      </c>
      <c r="E26" s="206"/>
      <c r="F26" s="204"/>
      <c r="G26" s="215">
        <f>SUMPRODUCT(E3_Consommateurs!$D$18:$XFD$18*(E3_Consommateurs!$D$22:$XFD$22="T 3: "&amp;Eing_Abnehmerart3))/Eing_verkaufteWM*100</f>
        <v>80.213903743315512</v>
      </c>
      <c r="H26" s="204" t="s">
        <v>435</v>
      </c>
      <c r="I26" s="208"/>
      <c r="K26" s="209"/>
    </row>
    <row r="27" spans="1:11" ht="12.95" customHeight="1" x14ac:dyDescent="0.2">
      <c r="A27" s="3">
        <v>232</v>
      </c>
      <c r="B27" s="210"/>
      <c r="F27" s="45" t="s">
        <v>432</v>
      </c>
      <c r="G27" s="209">
        <v>75</v>
      </c>
      <c r="H27" s="1" t="s">
        <v>436</v>
      </c>
      <c r="I27" s="211"/>
      <c r="K27" s="209"/>
    </row>
    <row r="28" spans="1:11" ht="12.95" customHeight="1" x14ac:dyDescent="0.2">
      <c r="A28" s="3">
        <v>233</v>
      </c>
      <c r="B28" s="210"/>
      <c r="F28" s="45" t="s">
        <v>433</v>
      </c>
      <c r="G28" s="209">
        <v>0.1</v>
      </c>
      <c r="H28" s="1" t="s">
        <v>11</v>
      </c>
      <c r="I28" s="211"/>
      <c r="K28" s="209"/>
    </row>
    <row r="29" spans="1:11" ht="12.95" customHeight="1" x14ac:dyDescent="0.2">
      <c r="A29" s="3">
        <v>234</v>
      </c>
      <c r="B29" s="210"/>
      <c r="F29" s="45" t="s">
        <v>434</v>
      </c>
      <c r="G29" s="209">
        <v>10</v>
      </c>
      <c r="H29" s="1" t="s">
        <v>425</v>
      </c>
      <c r="I29" s="211"/>
      <c r="K29" s="209"/>
    </row>
    <row r="30" spans="1:11" ht="12.95" customHeight="1" thickBot="1" x14ac:dyDescent="0.25">
      <c r="B30" s="212"/>
      <c r="C30" s="213"/>
      <c r="D30" s="213"/>
      <c r="E30" s="213"/>
      <c r="F30" s="213"/>
      <c r="G30" s="213"/>
      <c r="H30" s="213"/>
      <c r="I30" s="214"/>
    </row>
    <row r="31" spans="1:11" ht="12.95" customHeight="1" thickBot="1" x14ac:dyDescent="0.25"/>
    <row r="32" spans="1:11" ht="12.95" customHeight="1" x14ac:dyDescent="0.2">
      <c r="A32" s="3">
        <v>241</v>
      </c>
      <c r="B32" s="203" t="s">
        <v>18</v>
      </c>
      <c r="C32" s="204"/>
      <c r="D32" s="205"/>
      <c r="E32" s="206"/>
      <c r="F32" s="204"/>
      <c r="G32" s="215">
        <f>SUMPRODUCT(E3_Consommateurs!$D$18:$XFD$18*(E3_Consommateurs!$D$22:$XFD$22="T 4: "&amp;Eing_Abnehmerart4))/Eing_verkaufteWM*100</f>
        <v>0</v>
      </c>
      <c r="H32" s="204" t="s">
        <v>435</v>
      </c>
      <c r="I32" s="208"/>
      <c r="K32" s="209"/>
    </row>
    <row r="33" spans="1:11" ht="12.95" customHeight="1" x14ac:dyDescent="0.2">
      <c r="A33" s="3">
        <v>242</v>
      </c>
      <c r="B33" s="210"/>
      <c r="F33" s="45" t="s">
        <v>432</v>
      </c>
      <c r="G33" s="209"/>
      <c r="H33" s="1" t="s">
        <v>436</v>
      </c>
      <c r="I33" s="211"/>
      <c r="K33" s="209"/>
    </row>
    <row r="34" spans="1:11" ht="12.95" customHeight="1" x14ac:dyDescent="0.2">
      <c r="A34" s="3">
        <v>243</v>
      </c>
      <c r="B34" s="210"/>
      <c r="F34" s="45" t="s">
        <v>433</v>
      </c>
      <c r="G34" s="209"/>
      <c r="H34" s="1" t="s">
        <v>11</v>
      </c>
      <c r="I34" s="211"/>
      <c r="K34" s="209"/>
    </row>
    <row r="35" spans="1:11" ht="12.95" customHeight="1" x14ac:dyDescent="0.2">
      <c r="A35" s="3">
        <v>244</v>
      </c>
      <c r="B35" s="210"/>
      <c r="F35" s="45" t="s">
        <v>434</v>
      </c>
      <c r="G35" s="209"/>
      <c r="H35" s="1" t="s">
        <v>425</v>
      </c>
      <c r="I35" s="211"/>
      <c r="K35" s="209"/>
    </row>
    <row r="36" spans="1:11" ht="12.95" customHeight="1" thickBot="1" x14ac:dyDescent="0.25">
      <c r="B36" s="212"/>
      <c r="C36" s="213"/>
      <c r="D36" s="213"/>
      <c r="E36" s="213"/>
      <c r="F36" s="213"/>
      <c r="G36" s="213"/>
      <c r="H36" s="213"/>
      <c r="I36" s="214"/>
    </row>
    <row r="37" spans="1:11" ht="12.95" hidden="1" customHeight="1" x14ac:dyDescent="0.2"/>
    <row r="41" spans="1:11" hidden="1" x14ac:dyDescent="0.2">
      <c r="G41" s="216"/>
      <c r="I41" s="217"/>
      <c r="J41" s="217"/>
    </row>
  </sheetData>
  <sheetProtection algorithmName="SHA-512" hashValue="RLccTrptGh6VxNXzOeVVQp7i1QeSnEZKaVuWHWB0wWLefdEw2268qexxfJtBsUYbeqdlQNGuNF8FBbwWFTpA9w==" saltValue="s/uYzy2LElRH72HmY+Qa6A==" spinCount="100000" sheet="1" objects="1" scenarios="1"/>
  <mergeCells count="4">
    <mergeCell ref="D6:I6"/>
    <mergeCell ref="D7:I7"/>
    <mergeCell ref="D8:I8"/>
    <mergeCell ref="D10:I10"/>
  </mergeCells>
  <phoneticPr fontId="9" type="noConversion"/>
  <hyperlinks>
    <hyperlink ref="A1" location="I1_200" display="I1_200" xr:uid="{00000000-0004-0000-0200-000000000000}"/>
    <hyperlink ref="A3" location="I1_101" display="I1_101" xr:uid="{00000000-0004-0000-0200-000001000000}"/>
    <hyperlink ref="A4" location="I1_105" display="I1_105" xr:uid="{00000000-0004-0000-0200-000002000000}"/>
    <hyperlink ref="A6" location="I1_206" display="I1_206" xr:uid="{00000000-0004-0000-0200-000003000000}"/>
    <hyperlink ref="A10" location="I1_207" display="I1_207" xr:uid="{00000000-0004-0000-0200-000004000000}"/>
    <hyperlink ref="A12" location="I1_210" display="I1_210" xr:uid="{00000000-0004-0000-0200-000005000000}"/>
    <hyperlink ref="A14" location="I1_211" display="I1_211" xr:uid="{00000000-0004-0000-0200-000006000000}"/>
    <hyperlink ref="A15" location="I1_212" display="I1_212" xr:uid="{00000000-0004-0000-0200-000007000000}"/>
    <hyperlink ref="A16" location="I1_213" display="I1_213" xr:uid="{00000000-0004-0000-0200-000008000000}"/>
    <hyperlink ref="A20" location="I1_221" display="I1_221" xr:uid="{00000000-0004-0000-0200-000009000000}"/>
    <hyperlink ref="A21" location="I1_222" display="I1_222" xr:uid="{00000000-0004-0000-0200-00000A000000}"/>
    <hyperlink ref="A22" location="I1_223" display="I1_223" xr:uid="{00000000-0004-0000-0200-00000B000000}"/>
    <hyperlink ref="A26" location="I1_231" display="I1_231" xr:uid="{00000000-0004-0000-0200-00000C000000}"/>
    <hyperlink ref="A27" location="I1_232" display="I1_232" xr:uid="{00000000-0004-0000-0200-00000D000000}"/>
    <hyperlink ref="A28" location="I1_233" display="I1_233" xr:uid="{00000000-0004-0000-0200-00000E000000}"/>
    <hyperlink ref="A32" location="I1_241" display="I1_241" xr:uid="{00000000-0004-0000-0200-00000F000000}"/>
    <hyperlink ref="A33" location="I1_242" display="I1_242" xr:uid="{00000000-0004-0000-0200-000010000000}"/>
    <hyperlink ref="A34" location="I1_243" display="I1_243" xr:uid="{00000000-0004-0000-0200-000011000000}"/>
  </hyperlinks>
  <pageMargins left="0.78740157480314965" right="0.6692913385826772" top="1.1417322834645669" bottom="1.3385826771653544" header="0.51181102362204722" footer="0.51181102362204722"/>
  <pageSetup paperSize="9" scale="97" fitToHeight="0" orientation="portrait" r:id="rId1"/>
  <headerFooter alignWithMargins="0">
    <oddHeader>&amp;L&amp;G&amp;R&amp;G</oddHeader>
    <oddFooter>&amp;L&amp;"Arial,Standard"&amp;10&amp;F&amp;C&amp;"Arial,Standard"&amp;10&amp;P / &amp;N &amp;R&amp;"Arial,Standard"&amp;10&amp;D</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B38"/>
  <sheetViews>
    <sheetView zoomScale="110" zoomScaleNormal="110" workbookViewId="0">
      <pane xSplit="3" ySplit="13" topLeftCell="D14" activePane="bottomRight" state="frozen"/>
      <selection pane="topRight" activeCell="D1" sqref="D1"/>
      <selection pane="bottomLeft" activeCell="A14" sqref="A14"/>
      <selection pane="bottomRight" activeCell="D14" sqref="D14"/>
    </sheetView>
  </sheetViews>
  <sheetFormatPr baseColWidth="10" defaultColWidth="0" defaultRowHeight="12.75" zeroHeight="1" x14ac:dyDescent="0.25"/>
  <cols>
    <col min="1" max="1" width="3.85546875" style="172" customWidth="1"/>
    <col min="2" max="2" width="18.140625" style="172" customWidth="1"/>
    <col min="3" max="3" width="36.7109375" style="172" customWidth="1"/>
    <col min="4" max="183" width="18.7109375" style="172" customWidth="1"/>
    <col min="184" max="184" width="16.28515625" style="172" hidden="1" customWidth="1"/>
    <col min="185" max="16384" width="10.85546875" style="172" hidden="1"/>
  </cols>
  <sheetData>
    <row r="1" spans="1:184" ht="17.100000000000001" customHeight="1" x14ac:dyDescent="0.25">
      <c r="A1" s="171">
        <v>300</v>
      </c>
      <c r="B1" s="266" t="s">
        <v>437</v>
      </c>
    </row>
    <row r="2" spans="1:184" ht="12.95" customHeight="1" x14ac:dyDescent="0.25"/>
    <row r="3" spans="1:184" ht="12.95" customHeight="1" x14ac:dyDescent="0.2">
      <c r="A3" s="38">
        <v>101</v>
      </c>
      <c r="B3" s="1"/>
      <c r="C3" s="42" t="s">
        <v>260</v>
      </c>
      <c r="D3" s="173"/>
    </row>
    <row r="4" spans="1:184" ht="12.95" customHeight="1" x14ac:dyDescent="0.2">
      <c r="A4" s="38">
        <v>102</v>
      </c>
      <c r="B4" s="1"/>
      <c r="C4" s="264" t="s">
        <v>261</v>
      </c>
      <c r="D4" s="173"/>
    </row>
    <row r="5" spans="1:184" ht="12.95" customHeight="1" x14ac:dyDescent="0.2">
      <c r="A5" s="38">
        <v>103</v>
      </c>
      <c r="B5" s="1"/>
      <c r="C5" s="174" t="s">
        <v>442</v>
      </c>
      <c r="D5" s="1"/>
    </row>
    <row r="6" spans="1:184" ht="12.95" customHeight="1" x14ac:dyDescent="0.25">
      <c r="A6" s="171">
        <v>206</v>
      </c>
      <c r="B6" s="173" t="s">
        <v>247</v>
      </c>
      <c r="C6" s="173" t="s">
        <v>443</v>
      </c>
      <c r="D6" s="173"/>
    </row>
    <row r="7" spans="1:184" ht="12.95" customHeight="1" x14ac:dyDescent="0.25">
      <c r="B7" s="173"/>
      <c r="C7" s="173" t="s">
        <v>443</v>
      </c>
    </row>
    <row r="8" spans="1:184" ht="12.95" customHeight="1" x14ac:dyDescent="0.25">
      <c r="B8" s="173"/>
      <c r="C8" s="173" t="s">
        <v>443</v>
      </c>
    </row>
    <row r="9" spans="1:184" ht="12.95" customHeight="1" x14ac:dyDescent="0.25"/>
    <row r="10" spans="1:184" ht="12.95" customHeight="1" x14ac:dyDescent="0.25">
      <c r="A10" s="171">
        <v>207</v>
      </c>
      <c r="B10" s="175" t="s">
        <v>248</v>
      </c>
      <c r="C10" s="172" t="s">
        <v>443</v>
      </c>
    </row>
    <row r="11" spans="1:184" ht="12.95" customHeight="1" x14ac:dyDescent="0.25"/>
    <row r="12" spans="1:184" ht="12.95" customHeight="1" x14ac:dyDescent="0.25">
      <c r="A12" s="171">
        <v>310</v>
      </c>
      <c r="B12" s="173" t="s">
        <v>438</v>
      </c>
    </row>
    <row r="13" spans="1:184" ht="12.95" customHeight="1" x14ac:dyDescent="0.25"/>
    <row r="14" spans="1:184" s="179" customFormat="1" ht="12.95" customHeight="1" x14ac:dyDescent="0.25">
      <c r="A14" s="171">
        <v>311</v>
      </c>
      <c r="B14" s="176" t="s">
        <v>439</v>
      </c>
      <c r="C14" s="177" t="s">
        <v>444</v>
      </c>
      <c r="D14" s="178">
        <v>1</v>
      </c>
      <c r="E14" s="178">
        <v>2</v>
      </c>
      <c r="F14" s="178">
        <v>3</v>
      </c>
      <c r="G14" s="178">
        <v>4</v>
      </c>
      <c r="H14" s="178">
        <v>5</v>
      </c>
      <c r="I14" s="178">
        <v>6</v>
      </c>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78"/>
      <c r="BL14" s="178"/>
      <c r="BM14" s="178"/>
      <c r="BN14" s="178"/>
      <c r="BO14" s="178"/>
      <c r="BP14" s="178"/>
      <c r="BQ14" s="178"/>
      <c r="BR14" s="178"/>
      <c r="BS14" s="178"/>
      <c r="BT14" s="178"/>
      <c r="BU14" s="178"/>
      <c r="BV14" s="178"/>
      <c r="BW14" s="178"/>
      <c r="BX14" s="178"/>
      <c r="BY14" s="178"/>
      <c r="BZ14" s="178"/>
      <c r="CA14" s="178"/>
      <c r="CB14" s="178"/>
      <c r="CC14" s="178"/>
      <c r="CD14" s="178"/>
      <c r="CE14" s="178"/>
      <c r="CF14" s="178"/>
      <c r="CG14" s="178"/>
      <c r="CH14" s="178"/>
      <c r="CI14" s="178"/>
      <c r="CJ14" s="178"/>
      <c r="CK14" s="178"/>
      <c r="CL14" s="178"/>
      <c r="CM14" s="178"/>
      <c r="CN14" s="178"/>
      <c r="CO14" s="178"/>
      <c r="CP14" s="178"/>
      <c r="CQ14" s="178"/>
      <c r="CR14" s="178"/>
      <c r="CS14" s="178"/>
      <c r="CT14" s="178"/>
      <c r="CU14" s="178"/>
      <c r="CV14" s="178"/>
      <c r="CW14" s="178"/>
      <c r="CX14" s="178"/>
      <c r="CY14" s="178"/>
      <c r="CZ14" s="178"/>
      <c r="DA14" s="178"/>
      <c r="DB14" s="178"/>
      <c r="DC14" s="178"/>
      <c r="DD14" s="178"/>
      <c r="DE14" s="178"/>
      <c r="DF14" s="178"/>
      <c r="DG14" s="178"/>
      <c r="DH14" s="178"/>
      <c r="DI14" s="178"/>
      <c r="DJ14" s="178"/>
      <c r="DK14" s="178"/>
      <c r="DL14" s="178"/>
      <c r="DM14" s="178"/>
      <c r="DN14" s="178"/>
      <c r="DO14" s="178"/>
      <c r="DP14" s="178"/>
      <c r="DQ14" s="178"/>
      <c r="DR14" s="178"/>
      <c r="DS14" s="178"/>
      <c r="DT14" s="178"/>
      <c r="DU14" s="178"/>
      <c r="DV14" s="178"/>
      <c r="DW14" s="178"/>
      <c r="DX14" s="178"/>
      <c r="DY14" s="178"/>
      <c r="DZ14" s="178"/>
      <c r="EA14" s="178"/>
      <c r="EB14" s="178"/>
      <c r="EC14" s="178"/>
      <c r="ED14" s="178"/>
      <c r="EE14" s="178"/>
      <c r="EF14" s="178"/>
      <c r="EG14" s="178"/>
      <c r="EH14" s="178"/>
      <c r="EI14" s="178"/>
      <c r="EJ14" s="178"/>
      <c r="EK14" s="178"/>
      <c r="EL14" s="178"/>
      <c r="EM14" s="178"/>
      <c r="EN14" s="178"/>
      <c r="EO14" s="178"/>
      <c r="EP14" s="178"/>
      <c r="EQ14" s="178"/>
      <c r="ER14" s="178"/>
      <c r="ES14" s="178"/>
      <c r="ET14" s="178"/>
      <c r="EU14" s="178"/>
      <c r="EV14" s="178"/>
      <c r="EW14" s="178"/>
      <c r="EX14" s="178"/>
      <c r="EY14" s="178"/>
      <c r="EZ14" s="178"/>
      <c r="FA14" s="178"/>
      <c r="FB14" s="178"/>
      <c r="FC14" s="178"/>
      <c r="FD14" s="178"/>
      <c r="FE14" s="178"/>
      <c r="FF14" s="178"/>
      <c r="FG14" s="178"/>
      <c r="FH14" s="178"/>
      <c r="FI14" s="178"/>
      <c r="FJ14" s="178"/>
      <c r="FK14" s="178"/>
      <c r="FL14" s="178"/>
      <c r="FM14" s="178"/>
      <c r="FN14" s="178"/>
      <c r="FO14" s="178"/>
      <c r="FP14" s="178"/>
      <c r="FQ14" s="178"/>
      <c r="FR14" s="178"/>
      <c r="FS14" s="178"/>
      <c r="FT14" s="178"/>
      <c r="FU14" s="178"/>
      <c r="FV14" s="178"/>
      <c r="FW14" s="178"/>
      <c r="FX14" s="178"/>
      <c r="FY14" s="178"/>
      <c r="FZ14" s="178"/>
      <c r="GA14" s="178"/>
      <c r="GB14" s="172"/>
    </row>
    <row r="15" spans="1:184" s="179" customFormat="1" ht="12.95" customHeight="1" x14ac:dyDescent="0.25">
      <c r="A15" s="171">
        <v>312</v>
      </c>
      <c r="B15" s="180"/>
      <c r="C15" s="177" t="s">
        <v>445</v>
      </c>
      <c r="D15" s="178" t="s">
        <v>564</v>
      </c>
      <c r="E15" s="178" t="s">
        <v>565</v>
      </c>
      <c r="F15" s="181" t="s">
        <v>566</v>
      </c>
      <c r="G15" s="181" t="s">
        <v>567</v>
      </c>
      <c r="H15" s="181" t="s">
        <v>568</v>
      </c>
      <c r="I15" s="181" t="s">
        <v>569</v>
      </c>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c r="BO15" s="181"/>
      <c r="BP15" s="181"/>
      <c r="BQ15" s="181"/>
      <c r="BR15" s="181"/>
      <c r="BS15" s="181"/>
      <c r="BT15" s="181"/>
      <c r="BU15" s="181"/>
      <c r="BV15" s="181"/>
      <c r="BW15" s="181"/>
      <c r="BX15" s="181"/>
      <c r="BY15" s="181"/>
      <c r="BZ15" s="181"/>
      <c r="CA15" s="181"/>
      <c r="CB15" s="181"/>
      <c r="CC15" s="181"/>
      <c r="CD15" s="181"/>
      <c r="CE15" s="181"/>
      <c r="CF15" s="181"/>
      <c r="CG15" s="181"/>
      <c r="CH15" s="181"/>
      <c r="CI15" s="181"/>
      <c r="CJ15" s="181"/>
      <c r="CK15" s="181"/>
      <c r="CL15" s="181"/>
      <c r="CM15" s="181"/>
      <c r="CN15" s="181"/>
      <c r="CO15" s="181"/>
      <c r="CP15" s="181"/>
      <c r="CQ15" s="181"/>
      <c r="CR15" s="181"/>
      <c r="CS15" s="181"/>
      <c r="CT15" s="181"/>
      <c r="CU15" s="181"/>
      <c r="CV15" s="181"/>
      <c r="CW15" s="181"/>
      <c r="CX15" s="181"/>
      <c r="CY15" s="181"/>
      <c r="CZ15" s="181"/>
      <c r="DA15" s="181"/>
      <c r="DB15" s="181"/>
      <c r="DC15" s="181"/>
      <c r="DD15" s="181"/>
      <c r="DE15" s="181"/>
      <c r="DF15" s="181"/>
      <c r="DG15" s="181"/>
      <c r="DH15" s="181"/>
      <c r="DI15" s="181"/>
      <c r="DJ15" s="181"/>
      <c r="DK15" s="181"/>
      <c r="DL15" s="181"/>
      <c r="DM15" s="181"/>
      <c r="DN15" s="181"/>
      <c r="DO15" s="181"/>
      <c r="DP15" s="181"/>
      <c r="DQ15" s="181"/>
      <c r="DR15" s="181"/>
      <c r="DS15" s="181"/>
      <c r="DT15" s="181"/>
      <c r="DU15" s="181"/>
      <c r="DV15" s="181"/>
      <c r="DW15" s="181"/>
      <c r="DX15" s="181"/>
      <c r="DY15" s="181"/>
      <c r="DZ15" s="181"/>
      <c r="EA15" s="181"/>
      <c r="EB15" s="181"/>
      <c r="EC15" s="181"/>
      <c r="ED15" s="181"/>
      <c r="EE15" s="181"/>
      <c r="EF15" s="181"/>
      <c r="EG15" s="181"/>
      <c r="EH15" s="181"/>
      <c r="EI15" s="181"/>
      <c r="EJ15" s="181"/>
      <c r="EK15" s="181"/>
      <c r="EL15" s="181"/>
      <c r="EM15" s="181"/>
      <c r="EN15" s="181"/>
      <c r="EO15" s="181"/>
      <c r="EP15" s="181"/>
      <c r="EQ15" s="181"/>
      <c r="ER15" s="181"/>
      <c r="ES15" s="181"/>
      <c r="ET15" s="181"/>
      <c r="EU15" s="181"/>
      <c r="EV15" s="181"/>
      <c r="EW15" s="181"/>
      <c r="EX15" s="181"/>
      <c r="EY15" s="181"/>
      <c r="EZ15" s="181"/>
      <c r="FA15" s="181"/>
      <c r="FB15" s="181"/>
      <c r="FC15" s="181"/>
      <c r="FD15" s="181"/>
      <c r="FE15" s="181"/>
      <c r="FF15" s="181"/>
      <c r="FG15" s="181"/>
      <c r="FH15" s="181"/>
      <c r="FI15" s="181"/>
      <c r="FJ15" s="181"/>
      <c r="FK15" s="181"/>
      <c r="FL15" s="181"/>
      <c r="FM15" s="181"/>
      <c r="FN15" s="181"/>
      <c r="FO15" s="181"/>
      <c r="FP15" s="181"/>
      <c r="FQ15" s="181"/>
      <c r="FR15" s="181"/>
      <c r="FS15" s="181"/>
      <c r="FT15" s="181"/>
      <c r="FU15" s="181"/>
      <c r="FV15" s="181"/>
      <c r="FW15" s="181"/>
      <c r="FX15" s="181"/>
      <c r="FY15" s="181"/>
      <c r="FZ15" s="181"/>
      <c r="GA15" s="181"/>
      <c r="GB15" s="172"/>
    </row>
    <row r="16" spans="1:184" s="179" customFormat="1" ht="12.95" customHeight="1" x14ac:dyDescent="0.25">
      <c r="B16" s="180"/>
      <c r="C16" s="177" t="s">
        <v>0</v>
      </c>
      <c r="D16" s="178" t="s">
        <v>570</v>
      </c>
      <c r="E16" s="178" t="s">
        <v>571</v>
      </c>
      <c r="F16" s="181" t="s">
        <v>571</v>
      </c>
      <c r="G16" s="181" t="s">
        <v>572</v>
      </c>
      <c r="H16" s="181" t="s">
        <v>573</v>
      </c>
      <c r="I16" s="181" t="s">
        <v>574</v>
      </c>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1"/>
      <c r="BP16" s="181"/>
      <c r="BQ16" s="181"/>
      <c r="BR16" s="181"/>
      <c r="BS16" s="181"/>
      <c r="BT16" s="181"/>
      <c r="BU16" s="181"/>
      <c r="BV16" s="181"/>
      <c r="BW16" s="181"/>
      <c r="BX16" s="181"/>
      <c r="BY16" s="181"/>
      <c r="BZ16" s="181"/>
      <c r="CA16" s="181"/>
      <c r="CB16" s="181"/>
      <c r="CC16" s="181"/>
      <c r="CD16" s="181"/>
      <c r="CE16" s="181"/>
      <c r="CF16" s="181"/>
      <c r="CG16" s="181"/>
      <c r="CH16" s="181"/>
      <c r="CI16" s="181"/>
      <c r="CJ16" s="181"/>
      <c r="CK16" s="181"/>
      <c r="CL16" s="181"/>
      <c r="CM16" s="181"/>
      <c r="CN16" s="181"/>
      <c r="CO16" s="181"/>
      <c r="CP16" s="181"/>
      <c r="CQ16" s="181"/>
      <c r="CR16" s="181"/>
      <c r="CS16" s="181"/>
      <c r="CT16" s="181"/>
      <c r="CU16" s="181"/>
      <c r="CV16" s="181"/>
      <c r="CW16" s="181"/>
      <c r="CX16" s="181"/>
      <c r="CY16" s="181"/>
      <c r="CZ16" s="181"/>
      <c r="DA16" s="181"/>
      <c r="DB16" s="181"/>
      <c r="DC16" s="181"/>
      <c r="DD16" s="181"/>
      <c r="DE16" s="181"/>
      <c r="DF16" s="181"/>
      <c r="DG16" s="181"/>
      <c r="DH16" s="181"/>
      <c r="DI16" s="181"/>
      <c r="DJ16" s="181"/>
      <c r="DK16" s="181"/>
      <c r="DL16" s="181"/>
      <c r="DM16" s="181"/>
      <c r="DN16" s="181"/>
      <c r="DO16" s="181"/>
      <c r="DP16" s="181"/>
      <c r="DQ16" s="181"/>
      <c r="DR16" s="181"/>
      <c r="DS16" s="181"/>
      <c r="DT16" s="181"/>
      <c r="DU16" s="181"/>
      <c r="DV16" s="181"/>
      <c r="DW16" s="181"/>
      <c r="DX16" s="181"/>
      <c r="DY16" s="181"/>
      <c r="DZ16" s="181"/>
      <c r="EA16" s="181"/>
      <c r="EB16" s="181"/>
      <c r="EC16" s="181"/>
      <c r="ED16" s="181"/>
      <c r="EE16" s="181"/>
      <c r="EF16" s="181"/>
      <c r="EG16" s="181"/>
      <c r="EH16" s="181"/>
      <c r="EI16" s="181"/>
      <c r="EJ16" s="181"/>
      <c r="EK16" s="181"/>
      <c r="EL16" s="181"/>
      <c r="EM16" s="181"/>
      <c r="EN16" s="181"/>
      <c r="EO16" s="181"/>
      <c r="EP16" s="181"/>
      <c r="EQ16" s="181"/>
      <c r="ER16" s="181"/>
      <c r="ES16" s="181"/>
      <c r="ET16" s="181"/>
      <c r="EU16" s="181"/>
      <c r="EV16" s="181"/>
      <c r="EW16" s="181"/>
      <c r="EX16" s="181"/>
      <c r="EY16" s="181"/>
      <c r="EZ16" s="181"/>
      <c r="FA16" s="181"/>
      <c r="FB16" s="181"/>
      <c r="FC16" s="181"/>
      <c r="FD16" s="181"/>
      <c r="FE16" s="181"/>
      <c r="FF16" s="181"/>
      <c r="FG16" s="181"/>
      <c r="FH16" s="181"/>
      <c r="FI16" s="181"/>
      <c r="FJ16" s="181"/>
      <c r="FK16" s="181"/>
      <c r="FL16" s="181"/>
      <c r="FM16" s="181"/>
      <c r="FN16" s="181"/>
      <c r="FO16" s="181"/>
      <c r="FP16" s="181"/>
      <c r="FQ16" s="181"/>
      <c r="FR16" s="181"/>
      <c r="FS16" s="181"/>
      <c r="FT16" s="181"/>
      <c r="FU16" s="181"/>
      <c r="FV16" s="181"/>
      <c r="FW16" s="181"/>
      <c r="FX16" s="181"/>
      <c r="FY16" s="181"/>
      <c r="FZ16" s="181"/>
      <c r="GA16" s="181"/>
    </row>
    <row r="17" spans="1:184" s="179" customFormat="1" ht="12.95" customHeight="1" x14ac:dyDescent="0.25">
      <c r="B17" s="180"/>
      <c r="C17" s="177" t="s">
        <v>0</v>
      </c>
      <c r="D17" s="178"/>
      <c r="E17" s="178"/>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c r="BO17" s="181"/>
      <c r="BP17" s="181"/>
      <c r="BQ17" s="181"/>
      <c r="BR17" s="181"/>
      <c r="BS17" s="181"/>
      <c r="BT17" s="181"/>
      <c r="BU17" s="181"/>
      <c r="BV17" s="181"/>
      <c r="BW17" s="181"/>
      <c r="BX17" s="181"/>
      <c r="BY17" s="181"/>
      <c r="BZ17" s="181"/>
      <c r="CA17" s="181"/>
      <c r="CB17" s="181"/>
      <c r="CC17" s="181"/>
      <c r="CD17" s="181"/>
      <c r="CE17" s="181"/>
      <c r="CF17" s="181"/>
      <c r="CG17" s="181"/>
      <c r="CH17" s="181"/>
      <c r="CI17" s="181"/>
      <c r="CJ17" s="181"/>
      <c r="CK17" s="181"/>
      <c r="CL17" s="181"/>
      <c r="CM17" s="181"/>
      <c r="CN17" s="181"/>
      <c r="CO17" s="181"/>
      <c r="CP17" s="181"/>
      <c r="CQ17" s="181"/>
      <c r="CR17" s="181"/>
      <c r="CS17" s="181"/>
      <c r="CT17" s="181"/>
      <c r="CU17" s="181"/>
      <c r="CV17" s="181"/>
      <c r="CW17" s="181"/>
      <c r="CX17" s="181"/>
      <c r="CY17" s="181"/>
      <c r="CZ17" s="181"/>
      <c r="DA17" s="181"/>
      <c r="DB17" s="181"/>
      <c r="DC17" s="181"/>
      <c r="DD17" s="181"/>
      <c r="DE17" s="181"/>
      <c r="DF17" s="181"/>
      <c r="DG17" s="181"/>
      <c r="DH17" s="181"/>
      <c r="DI17" s="181"/>
      <c r="DJ17" s="181"/>
      <c r="DK17" s="181"/>
      <c r="DL17" s="181"/>
      <c r="DM17" s="181"/>
      <c r="DN17" s="181"/>
      <c r="DO17" s="181"/>
      <c r="DP17" s="181"/>
      <c r="DQ17" s="181"/>
      <c r="DR17" s="181"/>
      <c r="DS17" s="181"/>
      <c r="DT17" s="181"/>
      <c r="DU17" s="181"/>
      <c r="DV17" s="181"/>
      <c r="DW17" s="181"/>
      <c r="DX17" s="181"/>
      <c r="DY17" s="181"/>
      <c r="DZ17" s="181"/>
      <c r="EA17" s="181"/>
      <c r="EB17" s="181"/>
      <c r="EC17" s="181"/>
      <c r="ED17" s="181"/>
      <c r="EE17" s="181"/>
      <c r="EF17" s="181"/>
      <c r="EG17" s="181"/>
      <c r="EH17" s="181"/>
      <c r="EI17" s="181"/>
      <c r="EJ17" s="181"/>
      <c r="EK17" s="181"/>
      <c r="EL17" s="181"/>
      <c r="EM17" s="181"/>
      <c r="EN17" s="181"/>
      <c r="EO17" s="181"/>
      <c r="EP17" s="181"/>
      <c r="EQ17" s="181"/>
      <c r="ER17" s="181"/>
      <c r="ES17" s="181"/>
      <c r="ET17" s="181"/>
      <c r="EU17" s="181"/>
      <c r="EV17" s="181"/>
      <c r="EW17" s="181"/>
      <c r="EX17" s="181"/>
      <c r="EY17" s="181"/>
      <c r="EZ17" s="181"/>
      <c r="FA17" s="181"/>
      <c r="FB17" s="181"/>
      <c r="FC17" s="181"/>
      <c r="FD17" s="181"/>
      <c r="FE17" s="181"/>
      <c r="FF17" s="181"/>
      <c r="FG17" s="181"/>
      <c r="FH17" s="181"/>
      <c r="FI17" s="181"/>
      <c r="FJ17" s="181"/>
      <c r="FK17" s="181"/>
      <c r="FL17" s="181"/>
      <c r="FM17" s="181"/>
      <c r="FN17" s="181"/>
      <c r="FO17" s="181"/>
      <c r="FP17" s="181"/>
      <c r="FQ17" s="181"/>
      <c r="FR17" s="181"/>
      <c r="FS17" s="181"/>
      <c r="FT17" s="181"/>
      <c r="FU17" s="181"/>
      <c r="FV17" s="181"/>
      <c r="FW17" s="181"/>
      <c r="FX17" s="181"/>
      <c r="FY17" s="181"/>
      <c r="FZ17" s="181"/>
      <c r="GA17" s="181"/>
    </row>
    <row r="18" spans="1:184" s="179" customFormat="1" ht="12.95" customHeight="1" x14ac:dyDescent="0.25">
      <c r="A18" s="171">
        <v>320</v>
      </c>
      <c r="B18" s="176" t="s">
        <v>440</v>
      </c>
      <c r="C18" s="182" t="s">
        <v>446</v>
      </c>
      <c r="D18" s="183">
        <v>250</v>
      </c>
      <c r="E18" s="183">
        <v>40</v>
      </c>
      <c r="F18" s="184">
        <v>30</v>
      </c>
      <c r="G18" s="184">
        <v>20</v>
      </c>
      <c r="H18" s="184">
        <v>30</v>
      </c>
      <c r="I18" s="184">
        <v>1500</v>
      </c>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4"/>
      <c r="BA18" s="184"/>
      <c r="BB18" s="184"/>
      <c r="BC18" s="184"/>
      <c r="BD18" s="184"/>
      <c r="BE18" s="184"/>
      <c r="BF18" s="184"/>
      <c r="BG18" s="184"/>
      <c r="BH18" s="184"/>
      <c r="BI18" s="184"/>
      <c r="BJ18" s="184"/>
      <c r="BK18" s="184"/>
      <c r="BL18" s="184"/>
      <c r="BM18" s="184"/>
      <c r="BN18" s="184"/>
      <c r="BO18" s="184"/>
      <c r="BP18" s="184"/>
      <c r="BQ18" s="184"/>
      <c r="BR18" s="184"/>
      <c r="BS18" s="184"/>
      <c r="BT18" s="184"/>
      <c r="BU18" s="184"/>
      <c r="BV18" s="184"/>
      <c r="BW18" s="184"/>
      <c r="BX18" s="184"/>
      <c r="BY18" s="184"/>
      <c r="BZ18" s="184"/>
      <c r="CA18" s="184"/>
      <c r="CB18" s="184"/>
      <c r="CC18" s="184"/>
      <c r="CD18" s="184"/>
      <c r="CE18" s="184"/>
      <c r="CF18" s="184"/>
      <c r="CG18" s="184"/>
      <c r="CH18" s="184"/>
      <c r="CI18" s="184"/>
      <c r="CJ18" s="184"/>
      <c r="CK18" s="184"/>
      <c r="CL18" s="184"/>
      <c r="CM18" s="184"/>
      <c r="CN18" s="184"/>
      <c r="CO18" s="184"/>
      <c r="CP18" s="184"/>
      <c r="CQ18" s="184"/>
      <c r="CR18" s="184"/>
      <c r="CS18" s="184"/>
      <c r="CT18" s="184"/>
      <c r="CU18" s="184"/>
      <c r="CV18" s="184"/>
      <c r="CW18" s="184"/>
      <c r="CX18" s="184"/>
      <c r="CY18" s="184"/>
      <c r="CZ18" s="184"/>
      <c r="DA18" s="184"/>
      <c r="DB18" s="184"/>
      <c r="DC18" s="184"/>
      <c r="DD18" s="184"/>
      <c r="DE18" s="184"/>
      <c r="DF18" s="184"/>
      <c r="DG18" s="184"/>
      <c r="DH18" s="184"/>
      <c r="DI18" s="184"/>
      <c r="DJ18" s="184"/>
      <c r="DK18" s="184"/>
      <c r="DL18" s="184"/>
      <c r="DM18" s="184"/>
      <c r="DN18" s="184"/>
      <c r="DO18" s="184"/>
      <c r="DP18" s="184"/>
      <c r="DQ18" s="184"/>
      <c r="DR18" s="184"/>
      <c r="DS18" s="184"/>
      <c r="DT18" s="184"/>
      <c r="DU18" s="184"/>
      <c r="DV18" s="184"/>
      <c r="DW18" s="184"/>
      <c r="DX18" s="184"/>
      <c r="DY18" s="184"/>
      <c r="DZ18" s="184"/>
      <c r="EA18" s="184"/>
      <c r="EB18" s="184"/>
      <c r="EC18" s="184"/>
      <c r="ED18" s="184"/>
      <c r="EE18" s="184"/>
      <c r="EF18" s="184"/>
      <c r="EG18" s="184"/>
      <c r="EH18" s="184"/>
      <c r="EI18" s="184"/>
      <c r="EJ18" s="184"/>
      <c r="EK18" s="184"/>
      <c r="EL18" s="184"/>
      <c r="EM18" s="184"/>
      <c r="EN18" s="184"/>
      <c r="EO18" s="184"/>
      <c r="EP18" s="184"/>
      <c r="EQ18" s="184"/>
      <c r="ER18" s="184"/>
      <c r="ES18" s="184"/>
      <c r="ET18" s="184"/>
      <c r="EU18" s="184"/>
      <c r="EV18" s="184"/>
      <c r="EW18" s="184"/>
      <c r="EX18" s="184"/>
      <c r="EY18" s="184"/>
      <c r="EZ18" s="184"/>
      <c r="FA18" s="184"/>
      <c r="FB18" s="184"/>
      <c r="FC18" s="184"/>
      <c r="FD18" s="184"/>
      <c r="FE18" s="184"/>
      <c r="FF18" s="184"/>
      <c r="FG18" s="184"/>
      <c r="FH18" s="184"/>
      <c r="FI18" s="184"/>
      <c r="FJ18" s="184"/>
      <c r="FK18" s="184"/>
      <c r="FL18" s="184"/>
      <c r="FM18" s="184"/>
      <c r="FN18" s="184"/>
      <c r="FO18" s="184"/>
      <c r="FP18" s="184"/>
      <c r="FQ18" s="184"/>
      <c r="FR18" s="184"/>
      <c r="FS18" s="184"/>
      <c r="FT18" s="184"/>
      <c r="FU18" s="184"/>
      <c r="FV18" s="184"/>
      <c r="FW18" s="184"/>
      <c r="FX18" s="184"/>
      <c r="FY18" s="184"/>
      <c r="FZ18" s="184"/>
      <c r="GA18" s="184"/>
    </row>
    <row r="19" spans="1:184" s="179" customFormat="1" ht="12.95" customHeight="1" x14ac:dyDescent="0.25">
      <c r="A19" s="171">
        <v>321</v>
      </c>
      <c r="B19" s="180"/>
      <c r="C19" s="177" t="s">
        <v>447</v>
      </c>
      <c r="D19" s="185">
        <v>150</v>
      </c>
      <c r="E19" s="185">
        <v>25</v>
      </c>
      <c r="F19" s="185">
        <v>20</v>
      </c>
      <c r="G19" s="185">
        <v>15</v>
      </c>
      <c r="H19" s="185">
        <v>20</v>
      </c>
      <c r="I19" s="185">
        <v>1000</v>
      </c>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c r="BE19" s="185"/>
      <c r="BF19" s="185"/>
      <c r="BG19" s="185"/>
      <c r="BH19" s="185"/>
      <c r="BI19" s="185"/>
      <c r="BJ19" s="185"/>
      <c r="BK19" s="185"/>
      <c r="BL19" s="185"/>
      <c r="BM19" s="185"/>
      <c r="BN19" s="185"/>
      <c r="BO19" s="185"/>
      <c r="BP19" s="185"/>
      <c r="BQ19" s="185"/>
      <c r="BR19" s="185"/>
      <c r="BS19" s="185"/>
      <c r="BT19" s="185"/>
      <c r="BU19" s="185"/>
      <c r="BV19" s="185"/>
      <c r="BW19" s="185"/>
      <c r="BX19" s="185"/>
      <c r="BY19" s="185"/>
      <c r="BZ19" s="185"/>
      <c r="CA19" s="185"/>
      <c r="CB19" s="185"/>
      <c r="CC19" s="185"/>
      <c r="CD19" s="185"/>
      <c r="CE19" s="185"/>
      <c r="CF19" s="185"/>
      <c r="CG19" s="185"/>
      <c r="CH19" s="185"/>
      <c r="CI19" s="185"/>
      <c r="CJ19" s="185"/>
      <c r="CK19" s="185"/>
      <c r="CL19" s="185"/>
      <c r="CM19" s="185"/>
      <c r="CN19" s="185"/>
      <c r="CO19" s="185"/>
      <c r="CP19" s="185"/>
      <c r="CQ19" s="185"/>
      <c r="CR19" s="185"/>
      <c r="CS19" s="185"/>
      <c r="CT19" s="185"/>
      <c r="CU19" s="185"/>
      <c r="CV19" s="185"/>
      <c r="CW19" s="185"/>
      <c r="CX19" s="185"/>
      <c r="CY19" s="185"/>
      <c r="CZ19" s="185"/>
      <c r="DA19" s="185"/>
      <c r="DB19" s="185"/>
      <c r="DC19" s="185"/>
      <c r="DD19" s="185"/>
      <c r="DE19" s="185"/>
      <c r="DF19" s="185"/>
      <c r="DG19" s="185"/>
      <c r="DH19" s="185"/>
      <c r="DI19" s="185"/>
      <c r="DJ19" s="185"/>
      <c r="DK19" s="185"/>
      <c r="DL19" s="185"/>
      <c r="DM19" s="185"/>
      <c r="DN19" s="185"/>
      <c r="DO19" s="185"/>
      <c r="DP19" s="185"/>
      <c r="DQ19" s="185"/>
      <c r="DR19" s="185"/>
      <c r="DS19" s="185"/>
      <c r="DT19" s="185"/>
      <c r="DU19" s="185"/>
      <c r="DV19" s="185"/>
      <c r="DW19" s="185"/>
      <c r="DX19" s="185"/>
      <c r="DY19" s="185"/>
      <c r="DZ19" s="185"/>
      <c r="EA19" s="185"/>
      <c r="EB19" s="185"/>
      <c r="EC19" s="185"/>
      <c r="ED19" s="185"/>
      <c r="EE19" s="185"/>
      <c r="EF19" s="185"/>
      <c r="EG19" s="185"/>
      <c r="EH19" s="185"/>
      <c r="EI19" s="185"/>
      <c r="EJ19" s="185"/>
      <c r="EK19" s="185"/>
      <c r="EL19" s="185"/>
      <c r="EM19" s="185"/>
      <c r="EN19" s="185"/>
      <c r="EO19" s="185"/>
      <c r="EP19" s="185"/>
      <c r="EQ19" s="185"/>
      <c r="ER19" s="185"/>
      <c r="ES19" s="185"/>
      <c r="ET19" s="185"/>
      <c r="EU19" s="185"/>
      <c r="EV19" s="185"/>
      <c r="EW19" s="185"/>
      <c r="EX19" s="185"/>
      <c r="EY19" s="185"/>
      <c r="EZ19" s="185"/>
      <c r="FA19" s="185"/>
      <c r="FB19" s="185"/>
      <c r="FC19" s="185"/>
      <c r="FD19" s="185"/>
      <c r="FE19" s="185"/>
      <c r="FF19" s="185"/>
      <c r="FG19" s="185"/>
      <c r="FH19" s="185"/>
      <c r="FI19" s="185"/>
      <c r="FJ19" s="185"/>
      <c r="FK19" s="185"/>
      <c r="FL19" s="185"/>
      <c r="FM19" s="185"/>
      <c r="FN19" s="185"/>
      <c r="FO19" s="185"/>
      <c r="FP19" s="185"/>
      <c r="FQ19" s="185"/>
      <c r="FR19" s="185"/>
      <c r="FS19" s="185"/>
      <c r="FT19" s="185"/>
      <c r="FU19" s="185"/>
      <c r="FV19" s="185"/>
      <c r="FW19" s="185"/>
      <c r="FX19" s="185"/>
      <c r="FY19" s="185"/>
      <c r="FZ19" s="185"/>
      <c r="GA19" s="185"/>
    </row>
    <row r="20" spans="1:184" s="187" customFormat="1" ht="12.95" customHeight="1" x14ac:dyDescent="0.25">
      <c r="A20" s="171">
        <v>322</v>
      </c>
      <c r="B20" s="176" t="s">
        <v>441</v>
      </c>
      <c r="C20" s="182" t="s">
        <v>448</v>
      </c>
      <c r="D20" s="186">
        <v>0.5</v>
      </c>
      <c r="E20" s="186">
        <v>0.5</v>
      </c>
      <c r="F20" s="186">
        <v>0.5</v>
      </c>
      <c r="G20" s="186">
        <v>1</v>
      </c>
      <c r="H20" s="186">
        <v>0.5</v>
      </c>
      <c r="I20" s="186">
        <v>0.4</v>
      </c>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6"/>
      <c r="BA20" s="186"/>
      <c r="BB20" s="186"/>
      <c r="BC20" s="186"/>
      <c r="BD20" s="186"/>
      <c r="BE20" s="186"/>
      <c r="BF20" s="186"/>
      <c r="BG20" s="186"/>
      <c r="BH20" s="186"/>
      <c r="BI20" s="186"/>
      <c r="BJ20" s="186"/>
      <c r="BK20" s="186"/>
      <c r="BL20" s="186"/>
      <c r="BM20" s="186"/>
      <c r="BN20" s="186"/>
      <c r="BO20" s="186"/>
      <c r="BP20" s="186"/>
      <c r="BQ20" s="186"/>
      <c r="BR20" s="186"/>
      <c r="BS20" s="186"/>
      <c r="BT20" s="186"/>
      <c r="BU20" s="186"/>
      <c r="BV20" s="186"/>
      <c r="BW20" s="186"/>
      <c r="BX20" s="186"/>
      <c r="BY20" s="186"/>
      <c r="BZ20" s="186"/>
      <c r="CA20" s="186"/>
      <c r="CB20" s="186"/>
      <c r="CC20" s="186"/>
      <c r="CD20" s="186"/>
      <c r="CE20" s="186"/>
      <c r="CF20" s="186"/>
      <c r="CG20" s="186"/>
      <c r="CH20" s="186"/>
      <c r="CI20" s="186"/>
      <c r="CJ20" s="186"/>
      <c r="CK20" s="186"/>
      <c r="CL20" s="186"/>
      <c r="CM20" s="186"/>
      <c r="CN20" s="186"/>
      <c r="CO20" s="186"/>
      <c r="CP20" s="186"/>
      <c r="CQ20" s="186"/>
      <c r="CR20" s="186"/>
      <c r="CS20" s="186"/>
      <c r="CT20" s="186"/>
      <c r="CU20" s="186"/>
      <c r="CV20" s="186"/>
      <c r="CW20" s="186"/>
      <c r="CX20" s="186"/>
      <c r="CY20" s="186"/>
      <c r="CZ20" s="186"/>
      <c r="DA20" s="186"/>
      <c r="DB20" s="186"/>
      <c r="DC20" s="186"/>
      <c r="DD20" s="186"/>
      <c r="DE20" s="186"/>
      <c r="DF20" s="186"/>
      <c r="DG20" s="186"/>
      <c r="DH20" s="186"/>
      <c r="DI20" s="186"/>
      <c r="DJ20" s="186"/>
      <c r="DK20" s="186"/>
      <c r="DL20" s="186"/>
      <c r="DM20" s="186"/>
      <c r="DN20" s="186"/>
      <c r="DO20" s="186"/>
      <c r="DP20" s="186"/>
      <c r="DQ20" s="186"/>
      <c r="DR20" s="186"/>
      <c r="DS20" s="186"/>
      <c r="DT20" s="186"/>
      <c r="DU20" s="186"/>
      <c r="DV20" s="186"/>
      <c r="DW20" s="186"/>
      <c r="DX20" s="186"/>
      <c r="DY20" s="186"/>
      <c r="DZ20" s="186"/>
      <c r="EA20" s="186"/>
      <c r="EB20" s="186"/>
      <c r="EC20" s="186"/>
      <c r="ED20" s="186"/>
      <c r="EE20" s="186"/>
      <c r="EF20" s="186"/>
      <c r="EG20" s="186"/>
      <c r="EH20" s="186"/>
      <c r="EI20" s="186"/>
      <c r="EJ20" s="186"/>
      <c r="EK20" s="186"/>
      <c r="EL20" s="186"/>
      <c r="EM20" s="186"/>
      <c r="EN20" s="186"/>
      <c r="EO20" s="186"/>
      <c r="EP20" s="186"/>
      <c r="EQ20" s="186"/>
      <c r="ER20" s="186"/>
      <c r="ES20" s="186"/>
      <c r="ET20" s="186"/>
      <c r="EU20" s="186"/>
      <c r="EV20" s="186"/>
      <c r="EW20" s="186"/>
      <c r="EX20" s="186"/>
      <c r="EY20" s="186"/>
      <c r="EZ20" s="186"/>
      <c r="FA20" s="186"/>
      <c r="FB20" s="186"/>
      <c r="FC20" s="186"/>
      <c r="FD20" s="186"/>
      <c r="FE20" s="186"/>
      <c r="FF20" s="186"/>
      <c r="FG20" s="186"/>
      <c r="FH20" s="186"/>
      <c r="FI20" s="186"/>
      <c r="FJ20" s="186"/>
      <c r="FK20" s="186"/>
      <c r="FL20" s="186"/>
      <c r="FM20" s="186"/>
      <c r="FN20" s="186"/>
      <c r="FO20" s="186"/>
      <c r="FP20" s="186"/>
      <c r="FQ20" s="186"/>
      <c r="FR20" s="186"/>
      <c r="FS20" s="186"/>
      <c r="FT20" s="186"/>
      <c r="FU20" s="186"/>
      <c r="FV20" s="186"/>
      <c r="FW20" s="186"/>
      <c r="FX20" s="186"/>
      <c r="FY20" s="186"/>
      <c r="FZ20" s="186"/>
      <c r="GA20" s="186"/>
      <c r="GB20" s="179"/>
    </row>
    <row r="21" spans="1:184" s="179" customFormat="1" ht="12.95" customHeight="1" x14ac:dyDescent="0.25">
      <c r="A21" s="171">
        <v>323</v>
      </c>
      <c r="B21" s="182"/>
      <c r="C21" s="177" t="s">
        <v>449</v>
      </c>
      <c r="D21" s="188">
        <v>2024</v>
      </c>
      <c r="E21" s="189">
        <v>2026</v>
      </c>
      <c r="F21" s="189">
        <v>2026</v>
      </c>
      <c r="G21" s="189">
        <v>2027</v>
      </c>
      <c r="H21" s="189">
        <v>2025</v>
      </c>
      <c r="I21" s="189">
        <v>2025</v>
      </c>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89"/>
      <c r="BA21" s="189"/>
      <c r="BB21" s="189"/>
      <c r="BC21" s="189"/>
      <c r="BD21" s="189"/>
      <c r="BE21" s="189"/>
      <c r="BF21" s="189"/>
      <c r="BG21" s="189"/>
      <c r="BH21" s="189"/>
      <c r="BI21" s="189"/>
      <c r="BJ21" s="189"/>
      <c r="BK21" s="189"/>
      <c r="BL21" s="189"/>
      <c r="BM21" s="189"/>
      <c r="BN21" s="189"/>
      <c r="BO21" s="189"/>
      <c r="BP21" s="189"/>
      <c r="BQ21" s="189"/>
      <c r="BR21" s="189"/>
      <c r="BS21" s="189"/>
      <c r="BT21" s="189"/>
      <c r="BU21" s="189"/>
      <c r="BV21" s="189"/>
      <c r="BW21" s="189"/>
      <c r="BX21" s="189"/>
      <c r="BY21" s="189"/>
      <c r="BZ21" s="189"/>
      <c r="CA21" s="189"/>
      <c r="CB21" s="189"/>
      <c r="CC21" s="189"/>
      <c r="CD21" s="189"/>
      <c r="CE21" s="189"/>
      <c r="CF21" s="189"/>
      <c r="CG21" s="189"/>
      <c r="CH21" s="189"/>
      <c r="CI21" s="189"/>
      <c r="CJ21" s="189"/>
      <c r="CK21" s="189"/>
      <c r="CL21" s="189"/>
      <c r="CM21" s="189"/>
      <c r="CN21" s="189"/>
      <c r="CO21" s="189"/>
      <c r="CP21" s="189"/>
      <c r="CQ21" s="189"/>
      <c r="CR21" s="189"/>
      <c r="CS21" s="189"/>
      <c r="CT21" s="189"/>
      <c r="CU21" s="189"/>
      <c r="CV21" s="189"/>
      <c r="CW21" s="189"/>
      <c r="CX21" s="189"/>
      <c r="CY21" s="189"/>
      <c r="CZ21" s="189"/>
      <c r="DA21" s="189"/>
      <c r="DB21" s="189"/>
      <c r="DC21" s="189"/>
      <c r="DD21" s="189"/>
      <c r="DE21" s="189"/>
      <c r="DF21" s="189"/>
      <c r="DG21" s="189"/>
      <c r="DH21" s="189"/>
      <c r="DI21" s="189"/>
      <c r="DJ21" s="189"/>
      <c r="DK21" s="189"/>
      <c r="DL21" s="189"/>
      <c r="DM21" s="189"/>
      <c r="DN21" s="189"/>
      <c r="DO21" s="189"/>
      <c r="DP21" s="189"/>
      <c r="DQ21" s="189"/>
      <c r="DR21" s="189"/>
      <c r="DS21" s="189"/>
      <c r="DT21" s="189"/>
      <c r="DU21" s="189"/>
      <c r="DV21" s="189"/>
      <c r="DW21" s="189"/>
      <c r="DX21" s="189"/>
      <c r="DY21" s="189"/>
      <c r="DZ21" s="189"/>
      <c r="EA21" s="189"/>
      <c r="EB21" s="189"/>
      <c r="EC21" s="189"/>
      <c r="ED21" s="189"/>
      <c r="EE21" s="189"/>
      <c r="EF21" s="189"/>
      <c r="EG21" s="189"/>
      <c r="EH21" s="189"/>
      <c r="EI21" s="189"/>
      <c r="EJ21" s="189"/>
      <c r="EK21" s="189"/>
      <c r="EL21" s="189"/>
      <c r="EM21" s="189"/>
      <c r="EN21" s="189"/>
      <c r="EO21" s="189"/>
      <c r="EP21" s="189"/>
      <c r="EQ21" s="189"/>
      <c r="ER21" s="189"/>
      <c r="ES21" s="189"/>
      <c r="ET21" s="189"/>
      <c r="EU21" s="189"/>
      <c r="EV21" s="189"/>
      <c r="EW21" s="189"/>
      <c r="EX21" s="189"/>
      <c r="EY21" s="189"/>
      <c r="EZ21" s="189"/>
      <c r="FA21" s="189"/>
      <c r="FB21" s="189"/>
      <c r="FC21" s="189"/>
      <c r="FD21" s="189"/>
      <c r="FE21" s="189"/>
      <c r="FF21" s="189"/>
      <c r="FG21" s="189"/>
      <c r="FH21" s="189"/>
      <c r="FI21" s="189"/>
      <c r="FJ21" s="189"/>
      <c r="FK21" s="189"/>
      <c r="FL21" s="189"/>
      <c r="FM21" s="189"/>
      <c r="FN21" s="189"/>
      <c r="FO21" s="189"/>
      <c r="FP21" s="189"/>
      <c r="FQ21" s="189"/>
      <c r="FR21" s="189"/>
      <c r="FS21" s="189"/>
      <c r="FT21" s="189"/>
      <c r="FU21" s="189"/>
      <c r="FV21" s="189"/>
      <c r="FW21" s="189"/>
      <c r="FX21" s="189"/>
      <c r="FY21" s="189"/>
      <c r="FZ21" s="189"/>
      <c r="GA21" s="189"/>
    </row>
    <row r="22" spans="1:184" s="179" customFormat="1" ht="12.95" customHeight="1" x14ac:dyDescent="0.25">
      <c r="A22" s="171">
        <v>324</v>
      </c>
      <c r="B22" s="180" t="s">
        <v>12</v>
      </c>
      <c r="C22" s="182" t="s">
        <v>450</v>
      </c>
      <c r="D22" s="190" t="s">
        <v>575</v>
      </c>
      <c r="E22" s="190" t="s">
        <v>576</v>
      </c>
      <c r="F22" s="190" t="s">
        <v>576</v>
      </c>
      <c r="G22" s="190" t="s">
        <v>576</v>
      </c>
      <c r="H22" s="190" t="s">
        <v>575</v>
      </c>
      <c r="I22" s="190" t="s">
        <v>577</v>
      </c>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190"/>
      <c r="BC22" s="190"/>
      <c r="BD22" s="190"/>
      <c r="BE22" s="190"/>
      <c r="BF22" s="190"/>
      <c r="BG22" s="190"/>
      <c r="BH22" s="190"/>
      <c r="BI22" s="190"/>
      <c r="BJ22" s="190"/>
      <c r="BK22" s="190"/>
      <c r="BL22" s="190"/>
      <c r="BM22" s="190"/>
      <c r="BN22" s="190"/>
      <c r="BO22" s="190"/>
      <c r="BP22" s="190"/>
      <c r="BQ22" s="190"/>
      <c r="BR22" s="190"/>
      <c r="BS22" s="190"/>
      <c r="BT22" s="190"/>
      <c r="BU22" s="190"/>
      <c r="BV22" s="190"/>
      <c r="BW22" s="190"/>
      <c r="BX22" s="190"/>
      <c r="BY22" s="190"/>
      <c r="BZ22" s="190"/>
      <c r="CA22" s="190"/>
      <c r="CB22" s="190"/>
      <c r="CC22" s="190"/>
      <c r="CD22" s="190"/>
      <c r="CE22" s="190"/>
      <c r="CF22" s="190"/>
      <c r="CG22" s="190"/>
      <c r="CH22" s="190"/>
      <c r="CI22" s="190"/>
      <c r="CJ22" s="190"/>
      <c r="CK22" s="190"/>
      <c r="CL22" s="190"/>
      <c r="CM22" s="190"/>
      <c r="CN22" s="190"/>
      <c r="CO22" s="190"/>
      <c r="CP22" s="190"/>
      <c r="CQ22" s="190"/>
      <c r="CR22" s="190"/>
      <c r="CS22" s="190"/>
      <c r="CT22" s="190"/>
      <c r="CU22" s="190"/>
      <c r="CV22" s="190"/>
      <c r="CW22" s="190"/>
      <c r="CX22" s="190"/>
      <c r="CY22" s="190"/>
      <c r="CZ22" s="190"/>
      <c r="DA22" s="190"/>
      <c r="DB22" s="190"/>
      <c r="DC22" s="190"/>
      <c r="DD22" s="190"/>
      <c r="DE22" s="190"/>
      <c r="DF22" s="190"/>
      <c r="DG22" s="190"/>
      <c r="DH22" s="190"/>
      <c r="DI22" s="190"/>
      <c r="DJ22" s="190"/>
      <c r="DK22" s="190"/>
      <c r="DL22" s="190"/>
      <c r="DM22" s="190"/>
      <c r="DN22" s="190"/>
      <c r="DO22" s="190"/>
      <c r="DP22" s="190"/>
      <c r="DQ22" s="190"/>
      <c r="DR22" s="190"/>
      <c r="DS22" s="190"/>
      <c r="DT22" s="190"/>
      <c r="DU22" s="190"/>
      <c r="DV22" s="190"/>
      <c r="DW22" s="190"/>
      <c r="DX22" s="190"/>
      <c r="DY22" s="190"/>
      <c r="DZ22" s="190"/>
      <c r="EA22" s="190"/>
      <c r="EB22" s="190"/>
      <c r="EC22" s="190"/>
      <c r="ED22" s="190"/>
      <c r="EE22" s="190"/>
      <c r="EF22" s="190"/>
      <c r="EG22" s="190"/>
      <c r="EH22" s="190"/>
      <c r="EI22" s="190"/>
      <c r="EJ22" s="190"/>
      <c r="EK22" s="190"/>
      <c r="EL22" s="190"/>
      <c r="EM22" s="190"/>
      <c r="EN22" s="190"/>
      <c r="EO22" s="190"/>
      <c r="EP22" s="190"/>
      <c r="EQ22" s="190"/>
      <c r="ER22" s="190"/>
      <c r="ES22" s="190"/>
      <c r="ET22" s="190"/>
      <c r="EU22" s="190"/>
      <c r="EV22" s="190"/>
      <c r="EW22" s="190"/>
      <c r="EX22" s="190"/>
      <c r="EY22" s="190"/>
      <c r="EZ22" s="190"/>
      <c r="FA22" s="190"/>
      <c r="FB22" s="190"/>
      <c r="FC22" s="190"/>
      <c r="FD22" s="190"/>
      <c r="FE22" s="190"/>
      <c r="FF22" s="190"/>
      <c r="FG22" s="190"/>
      <c r="FH22" s="190"/>
      <c r="FI22" s="190"/>
      <c r="FJ22" s="190"/>
      <c r="FK22" s="190"/>
      <c r="FL22" s="190"/>
      <c r="FM22" s="190"/>
      <c r="FN22" s="190"/>
      <c r="FO22" s="190"/>
      <c r="FP22" s="190"/>
      <c r="FQ22" s="190"/>
      <c r="FR22" s="190"/>
      <c r="FS22" s="190"/>
      <c r="FT22" s="190"/>
      <c r="FU22" s="190"/>
      <c r="FV22" s="190"/>
      <c r="FW22" s="190"/>
      <c r="FX22" s="190"/>
      <c r="FY22" s="190"/>
      <c r="FZ22" s="190"/>
      <c r="GA22" s="190"/>
      <c r="GB22" s="187"/>
    </row>
    <row r="23" spans="1:184" s="191" customFormat="1" ht="12.95" customHeight="1" x14ac:dyDescent="0.25">
      <c r="A23" s="171">
        <v>325</v>
      </c>
      <c r="B23" s="182" t="s">
        <v>246</v>
      </c>
      <c r="C23" s="177" t="s">
        <v>451</v>
      </c>
      <c r="D23" s="185">
        <v>80000</v>
      </c>
      <c r="E23" s="185">
        <v>50000</v>
      </c>
      <c r="F23" s="185">
        <v>0</v>
      </c>
      <c r="G23" s="185">
        <v>0</v>
      </c>
      <c r="H23" s="185">
        <v>20000</v>
      </c>
      <c r="I23" s="185">
        <v>500000</v>
      </c>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5"/>
      <c r="AM23" s="185"/>
      <c r="AN23" s="185"/>
      <c r="AO23" s="185"/>
      <c r="AP23" s="185"/>
      <c r="AQ23" s="185"/>
      <c r="AR23" s="185"/>
      <c r="AS23" s="185"/>
      <c r="AT23" s="185"/>
      <c r="AU23" s="185"/>
      <c r="AV23" s="185"/>
      <c r="AW23" s="185"/>
      <c r="AX23" s="185"/>
      <c r="AY23" s="185"/>
      <c r="AZ23" s="185"/>
      <c r="BA23" s="185"/>
      <c r="BB23" s="185"/>
      <c r="BC23" s="185"/>
      <c r="BD23" s="185"/>
      <c r="BE23" s="185"/>
      <c r="BF23" s="185"/>
      <c r="BG23" s="185"/>
      <c r="BH23" s="185"/>
      <c r="BI23" s="185"/>
      <c r="BJ23" s="185"/>
      <c r="BK23" s="185"/>
      <c r="BL23" s="185"/>
      <c r="BM23" s="185"/>
      <c r="BN23" s="185"/>
      <c r="BO23" s="185"/>
      <c r="BP23" s="185"/>
      <c r="BQ23" s="185"/>
      <c r="BR23" s="185"/>
      <c r="BS23" s="185"/>
      <c r="BT23" s="185"/>
      <c r="BU23" s="185"/>
      <c r="BV23" s="185"/>
      <c r="BW23" s="185"/>
      <c r="BX23" s="185"/>
      <c r="BY23" s="185"/>
      <c r="BZ23" s="185"/>
      <c r="CA23" s="185"/>
      <c r="CB23" s="185"/>
      <c r="CC23" s="185"/>
      <c r="CD23" s="185"/>
      <c r="CE23" s="185"/>
      <c r="CF23" s="185"/>
      <c r="CG23" s="185"/>
      <c r="CH23" s="185"/>
      <c r="CI23" s="185"/>
      <c r="CJ23" s="185"/>
      <c r="CK23" s="185"/>
      <c r="CL23" s="185"/>
      <c r="CM23" s="185"/>
      <c r="CN23" s="185"/>
      <c r="CO23" s="185"/>
      <c r="CP23" s="185"/>
      <c r="CQ23" s="185"/>
      <c r="CR23" s="185"/>
      <c r="CS23" s="185"/>
      <c r="CT23" s="185"/>
      <c r="CU23" s="185"/>
      <c r="CV23" s="185"/>
      <c r="CW23" s="185"/>
      <c r="CX23" s="185"/>
      <c r="CY23" s="185"/>
      <c r="CZ23" s="185"/>
      <c r="DA23" s="185"/>
      <c r="DB23" s="185"/>
      <c r="DC23" s="185"/>
      <c r="DD23" s="185"/>
      <c r="DE23" s="185"/>
      <c r="DF23" s="185"/>
      <c r="DG23" s="185"/>
      <c r="DH23" s="185"/>
      <c r="DI23" s="185"/>
      <c r="DJ23" s="185"/>
      <c r="DK23" s="185"/>
      <c r="DL23" s="185"/>
      <c r="DM23" s="185"/>
      <c r="DN23" s="185"/>
      <c r="DO23" s="185"/>
      <c r="DP23" s="185"/>
      <c r="DQ23" s="185"/>
      <c r="DR23" s="185"/>
      <c r="DS23" s="185"/>
      <c r="DT23" s="185"/>
      <c r="DU23" s="185"/>
      <c r="DV23" s="185"/>
      <c r="DW23" s="185"/>
      <c r="DX23" s="185"/>
      <c r="DY23" s="185"/>
      <c r="DZ23" s="185"/>
      <c r="EA23" s="185"/>
      <c r="EB23" s="185"/>
      <c r="EC23" s="185"/>
      <c r="ED23" s="185"/>
      <c r="EE23" s="185"/>
      <c r="EF23" s="185"/>
      <c r="EG23" s="185"/>
      <c r="EH23" s="185"/>
      <c r="EI23" s="185"/>
      <c r="EJ23" s="185"/>
      <c r="EK23" s="185"/>
      <c r="EL23" s="185"/>
      <c r="EM23" s="185"/>
      <c r="EN23" s="185"/>
      <c r="EO23" s="185"/>
      <c r="EP23" s="185"/>
      <c r="EQ23" s="185"/>
      <c r="ER23" s="185"/>
      <c r="ES23" s="185"/>
      <c r="ET23" s="185"/>
      <c r="EU23" s="185"/>
      <c r="EV23" s="185"/>
      <c r="EW23" s="185"/>
      <c r="EX23" s="185"/>
      <c r="EY23" s="185"/>
      <c r="EZ23" s="185"/>
      <c r="FA23" s="185"/>
      <c r="FB23" s="185"/>
      <c r="FC23" s="185"/>
      <c r="FD23" s="185"/>
      <c r="FE23" s="185"/>
      <c r="FF23" s="185"/>
      <c r="FG23" s="185"/>
      <c r="FH23" s="185"/>
      <c r="FI23" s="185"/>
      <c r="FJ23" s="185"/>
      <c r="FK23" s="185"/>
      <c r="FL23" s="185"/>
      <c r="FM23" s="185"/>
      <c r="FN23" s="185"/>
      <c r="FO23" s="185"/>
      <c r="FP23" s="185"/>
      <c r="FQ23" s="185"/>
      <c r="FR23" s="185"/>
      <c r="FS23" s="185"/>
      <c r="FT23" s="185"/>
      <c r="FU23" s="185"/>
      <c r="FV23" s="185"/>
      <c r="FW23" s="185"/>
      <c r="FX23" s="185"/>
      <c r="FY23" s="185"/>
      <c r="FZ23" s="185"/>
      <c r="GA23" s="185"/>
      <c r="GB23" s="179"/>
    </row>
    <row r="24" spans="1:184" s="179" customFormat="1" ht="12.95" customHeight="1" x14ac:dyDescent="0.25">
      <c r="A24" s="171">
        <v>330</v>
      </c>
      <c r="B24" s="182"/>
      <c r="C24" s="177" t="s">
        <v>452</v>
      </c>
      <c r="D24" s="192">
        <f t="shared" ref="D24:AI24" si="0">IF(ISBLANK(D22),0,D23/VLOOKUP(D22,$B$35:$E$38,4,0))</f>
        <v>4000</v>
      </c>
      <c r="E24" s="192">
        <f t="shared" si="0"/>
        <v>1666.6666666666667</v>
      </c>
      <c r="F24" s="192">
        <f t="shared" si="0"/>
        <v>0</v>
      </c>
      <c r="G24" s="192">
        <f t="shared" si="0"/>
        <v>0</v>
      </c>
      <c r="H24" s="192">
        <f t="shared" si="0"/>
        <v>1000</v>
      </c>
      <c r="I24" s="192">
        <f t="shared" si="0"/>
        <v>50000</v>
      </c>
      <c r="J24" s="192">
        <f t="shared" si="0"/>
        <v>0</v>
      </c>
      <c r="K24" s="192">
        <f t="shared" si="0"/>
        <v>0</v>
      </c>
      <c r="L24" s="192">
        <f t="shared" si="0"/>
        <v>0</v>
      </c>
      <c r="M24" s="192">
        <f t="shared" si="0"/>
        <v>0</v>
      </c>
      <c r="N24" s="192">
        <f t="shared" si="0"/>
        <v>0</v>
      </c>
      <c r="O24" s="192">
        <f t="shared" si="0"/>
        <v>0</v>
      </c>
      <c r="P24" s="192">
        <f t="shared" si="0"/>
        <v>0</v>
      </c>
      <c r="Q24" s="192">
        <f t="shared" si="0"/>
        <v>0</v>
      </c>
      <c r="R24" s="192">
        <f t="shared" si="0"/>
        <v>0</v>
      </c>
      <c r="S24" s="192">
        <f t="shared" si="0"/>
        <v>0</v>
      </c>
      <c r="T24" s="192">
        <f t="shared" si="0"/>
        <v>0</v>
      </c>
      <c r="U24" s="192">
        <f t="shared" si="0"/>
        <v>0</v>
      </c>
      <c r="V24" s="192">
        <f t="shared" si="0"/>
        <v>0</v>
      </c>
      <c r="W24" s="192">
        <f t="shared" si="0"/>
        <v>0</v>
      </c>
      <c r="X24" s="192">
        <f t="shared" si="0"/>
        <v>0</v>
      </c>
      <c r="Y24" s="192">
        <f t="shared" si="0"/>
        <v>0</v>
      </c>
      <c r="Z24" s="192">
        <f t="shared" si="0"/>
        <v>0</v>
      </c>
      <c r="AA24" s="192">
        <f t="shared" si="0"/>
        <v>0</v>
      </c>
      <c r="AB24" s="192">
        <f t="shared" si="0"/>
        <v>0</v>
      </c>
      <c r="AC24" s="192">
        <f t="shared" si="0"/>
        <v>0</v>
      </c>
      <c r="AD24" s="192">
        <f t="shared" si="0"/>
        <v>0</v>
      </c>
      <c r="AE24" s="192">
        <f t="shared" si="0"/>
        <v>0</v>
      </c>
      <c r="AF24" s="192">
        <f t="shared" si="0"/>
        <v>0</v>
      </c>
      <c r="AG24" s="192">
        <f t="shared" si="0"/>
        <v>0</v>
      </c>
      <c r="AH24" s="192">
        <f t="shared" si="0"/>
        <v>0</v>
      </c>
      <c r="AI24" s="192">
        <f t="shared" si="0"/>
        <v>0</v>
      </c>
      <c r="AJ24" s="192">
        <f t="shared" ref="AJ24:BO24" si="1">IF(ISBLANK(AJ22),0,AJ23/VLOOKUP(AJ22,$B$35:$E$38,4,0))</f>
        <v>0</v>
      </c>
      <c r="AK24" s="192">
        <f t="shared" si="1"/>
        <v>0</v>
      </c>
      <c r="AL24" s="192">
        <f t="shared" si="1"/>
        <v>0</v>
      </c>
      <c r="AM24" s="192">
        <f t="shared" si="1"/>
        <v>0</v>
      </c>
      <c r="AN24" s="192">
        <f t="shared" si="1"/>
        <v>0</v>
      </c>
      <c r="AO24" s="192">
        <f t="shared" si="1"/>
        <v>0</v>
      </c>
      <c r="AP24" s="192">
        <f t="shared" si="1"/>
        <v>0</v>
      </c>
      <c r="AQ24" s="192">
        <f t="shared" si="1"/>
        <v>0</v>
      </c>
      <c r="AR24" s="192">
        <f t="shared" si="1"/>
        <v>0</v>
      </c>
      <c r="AS24" s="192">
        <f t="shared" si="1"/>
        <v>0</v>
      </c>
      <c r="AT24" s="192">
        <f t="shared" si="1"/>
        <v>0</v>
      </c>
      <c r="AU24" s="192">
        <f t="shared" si="1"/>
        <v>0</v>
      </c>
      <c r="AV24" s="192">
        <f t="shared" si="1"/>
        <v>0</v>
      </c>
      <c r="AW24" s="192">
        <f t="shared" si="1"/>
        <v>0</v>
      </c>
      <c r="AX24" s="192">
        <f t="shared" si="1"/>
        <v>0</v>
      </c>
      <c r="AY24" s="192">
        <f t="shared" si="1"/>
        <v>0</v>
      </c>
      <c r="AZ24" s="192">
        <f t="shared" si="1"/>
        <v>0</v>
      </c>
      <c r="BA24" s="192">
        <f t="shared" si="1"/>
        <v>0</v>
      </c>
      <c r="BB24" s="192">
        <f t="shared" si="1"/>
        <v>0</v>
      </c>
      <c r="BC24" s="192">
        <f t="shared" si="1"/>
        <v>0</v>
      </c>
      <c r="BD24" s="192">
        <f t="shared" si="1"/>
        <v>0</v>
      </c>
      <c r="BE24" s="192">
        <f t="shared" si="1"/>
        <v>0</v>
      </c>
      <c r="BF24" s="192">
        <f t="shared" si="1"/>
        <v>0</v>
      </c>
      <c r="BG24" s="192">
        <f t="shared" si="1"/>
        <v>0</v>
      </c>
      <c r="BH24" s="192">
        <f t="shared" si="1"/>
        <v>0</v>
      </c>
      <c r="BI24" s="192">
        <f t="shared" si="1"/>
        <v>0</v>
      </c>
      <c r="BJ24" s="192">
        <f t="shared" si="1"/>
        <v>0</v>
      </c>
      <c r="BK24" s="192">
        <f t="shared" si="1"/>
        <v>0</v>
      </c>
      <c r="BL24" s="192">
        <f t="shared" si="1"/>
        <v>0</v>
      </c>
      <c r="BM24" s="192">
        <f t="shared" si="1"/>
        <v>0</v>
      </c>
      <c r="BN24" s="192">
        <f t="shared" si="1"/>
        <v>0</v>
      </c>
      <c r="BO24" s="192">
        <f t="shared" si="1"/>
        <v>0</v>
      </c>
      <c r="BP24" s="192">
        <f t="shared" ref="BP24:CU24" si="2">IF(ISBLANK(BP22),0,BP23/VLOOKUP(BP22,$B$35:$E$38,4,0))</f>
        <v>0</v>
      </c>
      <c r="BQ24" s="192">
        <f t="shared" si="2"/>
        <v>0</v>
      </c>
      <c r="BR24" s="192">
        <f t="shared" si="2"/>
        <v>0</v>
      </c>
      <c r="BS24" s="192">
        <f t="shared" si="2"/>
        <v>0</v>
      </c>
      <c r="BT24" s="192">
        <f t="shared" si="2"/>
        <v>0</v>
      </c>
      <c r="BU24" s="192">
        <f t="shared" si="2"/>
        <v>0</v>
      </c>
      <c r="BV24" s="192">
        <f t="shared" si="2"/>
        <v>0</v>
      </c>
      <c r="BW24" s="192">
        <f t="shared" si="2"/>
        <v>0</v>
      </c>
      <c r="BX24" s="192">
        <f t="shared" si="2"/>
        <v>0</v>
      </c>
      <c r="BY24" s="192">
        <f t="shared" si="2"/>
        <v>0</v>
      </c>
      <c r="BZ24" s="192">
        <f t="shared" si="2"/>
        <v>0</v>
      </c>
      <c r="CA24" s="192">
        <f t="shared" si="2"/>
        <v>0</v>
      </c>
      <c r="CB24" s="192">
        <f t="shared" si="2"/>
        <v>0</v>
      </c>
      <c r="CC24" s="192">
        <f t="shared" si="2"/>
        <v>0</v>
      </c>
      <c r="CD24" s="192">
        <f t="shared" si="2"/>
        <v>0</v>
      </c>
      <c r="CE24" s="192">
        <f t="shared" si="2"/>
        <v>0</v>
      </c>
      <c r="CF24" s="192">
        <f t="shared" si="2"/>
        <v>0</v>
      </c>
      <c r="CG24" s="192">
        <f t="shared" si="2"/>
        <v>0</v>
      </c>
      <c r="CH24" s="192">
        <f t="shared" si="2"/>
        <v>0</v>
      </c>
      <c r="CI24" s="192">
        <f t="shared" si="2"/>
        <v>0</v>
      </c>
      <c r="CJ24" s="192">
        <f t="shared" si="2"/>
        <v>0</v>
      </c>
      <c r="CK24" s="192">
        <f t="shared" si="2"/>
        <v>0</v>
      </c>
      <c r="CL24" s="192">
        <f t="shared" si="2"/>
        <v>0</v>
      </c>
      <c r="CM24" s="192">
        <f t="shared" si="2"/>
        <v>0</v>
      </c>
      <c r="CN24" s="192">
        <f t="shared" si="2"/>
        <v>0</v>
      </c>
      <c r="CO24" s="192">
        <f t="shared" si="2"/>
        <v>0</v>
      </c>
      <c r="CP24" s="192">
        <f t="shared" si="2"/>
        <v>0</v>
      </c>
      <c r="CQ24" s="192">
        <f t="shared" si="2"/>
        <v>0</v>
      </c>
      <c r="CR24" s="192">
        <f t="shared" si="2"/>
        <v>0</v>
      </c>
      <c r="CS24" s="192">
        <f t="shared" si="2"/>
        <v>0</v>
      </c>
      <c r="CT24" s="192">
        <f t="shared" si="2"/>
        <v>0</v>
      </c>
      <c r="CU24" s="192">
        <f t="shared" si="2"/>
        <v>0</v>
      </c>
      <c r="CV24" s="192">
        <f t="shared" ref="CV24:EA24" si="3">IF(ISBLANK(CV22),0,CV23/VLOOKUP(CV22,$B$35:$E$38,4,0))</f>
        <v>0</v>
      </c>
      <c r="CW24" s="192">
        <f t="shared" si="3"/>
        <v>0</v>
      </c>
      <c r="CX24" s="192">
        <f t="shared" si="3"/>
        <v>0</v>
      </c>
      <c r="CY24" s="192">
        <f t="shared" si="3"/>
        <v>0</v>
      </c>
      <c r="CZ24" s="192">
        <f t="shared" si="3"/>
        <v>0</v>
      </c>
      <c r="DA24" s="192">
        <f t="shared" si="3"/>
        <v>0</v>
      </c>
      <c r="DB24" s="192">
        <f t="shared" si="3"/>
        <v>0</v>
      </c>
      <c r="DC24" s="192">
        <f t="shared" si="3"/>
        <v>0</v>
      </c>
      <c r="DD24" s="192">
        <f t="shared" si="3"/>
        <v>0</v>
      </c>
      <c r="DE24" s="192">
        <f t="shared" si="3"/>
        <v>0</v>
      </c>
      <c r="DF24" s="192">
        <f t="shared" si="3"/>
        <v>0</v>
      </c>
      <c r="DG24" s="192">
        <f t="shared" si="3"/>
        <v>0</v>
      </c>
      <c r="DH24" s="192">
        <f t="shared" si="3"/>
        <v>0</v>
      </c>
      <c r="DI24" s="192">
        <f t="shared" si="3"/>
        <v>0</v>
      </c>
      <c r="DJ24" s="192">
        <f t="shared" si="3"/>
        <v>0</v>
      </c>
      <c r="DK24" s="192">
        <f t="shared" si="3"/>
        <v>0</v>
      </c>
      <c r="DL24" s="192">
        <f t="shared" si="3"/>
        <v>0</v>
      </c>
      <c r="DM24" s="192">
        <f t="shared" si="3"/>
        <v>0</v>
      </c>
      <c r="DN24" s="192">
        <f t="shared" si="3"/>
        <v>0</v>
      </c>
      <c r="DO24" s="192">
        <f t="shared" si="3"/>
        <v>0</v>
      </c>
      <c r="DP24" s="192">
        <f t="shared" si="3"/>
        <v>0</v>
      </c>
      <c r="DQ24" s="192">
        <f t="shared" si="3"/>
        <v>0</v>
      </c>
      <c r="DR24" s="192">
        <f t="shared" si="3"/>
        <v>0</v>
      </c>
      <c r="DS24" s="192">
        <f t="shared" si="3"/>
        <v>0</v>
      </c>
      <c r="DT24" s="192">
        <f t="shared" si="3"/>
        <v>0</v>
      </c>
      <c r="DU24" s="192">
        <f t="shared" si="3"/>
        <v>0</v>
      </c>
      <c r="DV24" s="192">
        <f t="shared" si="3"/>
        <v>0</v>
      </c>
      <c r="DW24" s="192">
        <f t="shared" si="3"/>
        <v>0</v>
      </c>
      <c r="DX24" s="192">
        <f t="shared" si="3"/>
        <v>0</v>
      </c>
      <c r="DY24" s="192">
        <f t="shared" si="3"/>
        <v>0</v>
      </c>
      <c r="DZ24" s="192">
        <f t="shared" si="3"/>
        <v>0</v>
      </c>
      <c r="EA24" s="192">
        <f t="shared" si="3"/>
        <v>0</v>
      </c>
      <c r="EB24" s="192">
        <f t="shared" ref="EB24:FG24" si="4">IF(ISBLANK(EB22),0,EB23/VLOOKUP(EB22,$B$35:$E$38,4,0))</f>
        <v>0</v>
      </c>
      <c r="EC24" s="192">
        <f t="shared" si="4"/>
        <v>0</v>
      </c>
      <c r="ED24" s="192">
        <f t="shared" si="4"/>
        <v>0</v>
      </c>
      <c r="EE24" s="192">
        <f t="shared" si="4"/>
        <v>0</v>
      </c>
      <c r="EF24" s="192">
        <f t="shared" si="4"/>
        <v>0</v>
      </c>
      <c r="EG24" s="192">
        <f t="shared" si="4"/>
        <v>0</v>
      </c>
      <c r="EH24" s="192">
        <f t="shared" si="4"/>
        <v>0</v>
      </c>
      <c r="EI24" s="192">
        <f t="shared" si="4"/>
        <v>0</v>
      </c>
      <c r="EJ24" s="192">
        <f t="shared" si="4"/>
        <v>0</v>
      </c>
      <c r="EK24" s="192">
        <f t="shared" si="4"/>
        <v>0</v>
      </c>
      <c r="EL24" s="192">
        <f t="shared" si="4"/>
        <v>0</v>
      </c>
      <c r="EM24" s="192">
        <f t="shared" si="4"/>
        <v>0</v>
      </c>
      <c r="EN24" s="192">
        <f t="shared" si="4"/>
        <v>0</v>
      </c>
      <c r="EO24" s="192">
        <f t="shared" si="4"/>
        <v>0</v>
      </c>
      <c r="EP24" s="192">
        <f t="shared" si="4"/>
        <v>0</v>
      </c>
      <c r="EQ24" s="192">
        <f t="shared" si="4"/>
        <v>0</v>
      </c>
      <c r="ER24" s="192">
        <f t="shared" si="4"/>
        <v>0</v>
      </c>
      <c r="ES24" s="192">
        <f t="shared" si="4"/>
        <v>0</v>
      </c>
      <c r="ET24" s="192">
        <f t="shared" si="4"/>
        <v>0</v>
      </c>
      <c r="EU24" s="192">
        <f t="shared" si="4"/>
        <v>0</v>
      </c>
      <c r="EV24" s="192">
        <f t="shared" si="4"/>
        <v>0</v>
      </c>
      <c r="EW24" s="192">
        <f t="shared" si="4"/>
        <v>0</v>
      </c>
      <c r="EX24" s="192">
        <f t="shared" si="4"/>
        <v>0</v>
      </c>
      <c r="EY24" s="192">
        <f t="shared" si="4"/>
        <v>0</v>
      </c>
      <c r="EZ24" s="192">
        <f t="shared" si="4"/>
        <v>0</v>
      </c>
      <c r="FA24" s="192">
        <f t="shared" si="4"/>
        <v>0</v>
      </c>
      <c r="FB24" s="192">
        <f t="shared" si="4"/>
        <v>0</v>
      </c>
      <c r="FC24" s="192">
        <f t="shared" si="4"/>
        <v>0</v>
      </c>
      <c r="FD24" s="192">
        <f t="shared" si="4"/>
        <v>0</v>
      </c>
      <c r="FE24" s="192">
        <f t="shared" si="4"/>
        <v>0</v>
      </c>
      <c r="FF24" s="192">
        <f t="shared" si="4"/>
        <v>0</v>
      </c>
      <c r="FG24" s="192">
        <f t="shared" si="4"/>
        <v>0</v>
      </c>
      <c r="FH24" s="192">
        <f t="shared" ref="FH24:GA24" si="5">IF(ISBLANK(FH22),0,FH23/VLOOKUP(FH22,$B$35:$E$38,4,0))</f>
        <v>0</v>
      </c>
      <c r="FI24" s="192">
        <f t="shared" si="5"/>
        <v>0</v>
      </c>
      <c r="FJ24" s="192">
        <f t="shared" si="5"/>
        <v>0</v>
      </c>
      <c r="FK24" s="192">
        <f t="shared" si="5"/>
        <v>0</v>
      </c>
      <c r="FL24" s="192">
        <f t="shared" si="5"/>
        <v>0</v>
      </c>
      <c r="FM24" s="192">
        <f t="shared" si="5"/>
        <v>0</v>
      </c>
      <c r="FN24" s="192">
        <f t="shared" si="5"/>
        <v>0</v>
      </c>
      <c r="FO24" s="192">
        <f t="shared" si="5"/>
        <v>0</v>
      </c>
      <c r="FP24" s="192">
        <f t="shared" si="5"/>
        <v>0</v>
      </c>
      <c r="FQ24" s="192">
        <f t="shared" si="5"/>
        <v>0</v>
      </c>
      <c r="FR24" s="192">
        <f t="shared" si="5"/>
        <v>0</v>
      </c>
      <c r="FS24" s="192">
        <f t="shared" si="5"/>
        <v>0</v>
      </c>
      <c r="FT24" s="192">
        <f t="shared" si="5"/>
        <v>0</v>
      </c>
      <c r="FU24" s="192">
        <f t="shared" si="5"/>
        <v>0</v>
      </c>
      <c r="FV24" s="192">
        <f t="shared" si="5"/>
        <v>0</v>
      </c>
      <c r="FW24" s="192">
        <f t="shared" si="5"/>
        <v>0</v>
      </c>
      <c r="FX24" s="192">
        <f t="shared" si="5"/>
        <v>0</v>
      </c>
      <c r="FY24" s="192">
        <f t="shared" si="5"/>
        <v>0</v>
      </c>
      <c r="FZ24" s="192">
        <f t="shared" si="5"/>
        <v>0</v>
      </c>
      <c r="GA24" s="192">
        <f t="shared" si="5"/>
        <v>0</v>
      </c>
    </row>
    <row r="25" spans="1:184" s="179" customFormat="1" ht="12.95" customHeight="1" x14ac:dyDescent="0.25">
      <c r="A25" s="171">
        <v>331</v>
      </c>
      <c r="B25" s="182"/>
      <c r="C25" s="177" t="s">
        <v>453</v>
      </c>
      <c r="D25" s="265">
        <f>IF(ISBLANK(D22),0,(D19*VLOOKUP(D22,$B$35:$D$38,3,0)))</f>
        <v>12750</v>
      </c>
      <c r="E25" s="265">
        <f t="shared" ref="E25:BP25" si="6">IF(ISBLANK(E22),0,(E19*VLOOKUP(E22,$B$35:$D$38,3,0)))</f>
        <v>2750</v>
      </c>
      <c r="F25" s="265">
        <f t="shared" si="6"/>
        <v>2200</v>
      </c>
      <c r="G25" s="265">
        <f t="shared" si="6"/>
        <v>1650</v>
      </c>
      <c r="H25" s="265">
        <f t="shared" si="6"/>
        <v>1700</v>
      </c>
      <c r="I25" s="265">
        <f t="shared" si="6"/>
        <v>75000</v>
      </c>
      <c r="J25" s="265">
        <f t="shared" si="6"/>
        <v>0</v>
      </c>
      <c r="K25" s="265">
        <f t="shared" si="6"/>
        <v>0</v>
      </c>
      <c r="L25" s="265">
        <f t="shared" si="6"/>
        <v>0</v>
      </c>
      <c r="M25" s="265">
        <f t="shared" si="6"/>
        <v>0</v>
      </c>
      <c r="N25" s="265">
        <f t="shared" si="6"/>
        <v>0</v>
      </c>
      <c r="O25" s="265">
        <f t="shared" si="6"/>
        <v>0</v>
      </c>
      <c r="P25" s="265">
        <f t="shared" si="6"/>
        <v>0</v>
      </c>
      <c r="Q25" s="265">
        <f t="shared" si="6"/>
        <v>0</v>
      </c>
      <c r="R25" s="265">
        <f t="shared" si="6"/>
        <v>0</v>
      </c>
      <c r="S25" s="265">
        <f t="shared" si="6"/>
        <v>0</v>
      </c>
      <c r="T25" s="265">
        <f t="shared" si="6"/>
        <v>0</v>
      </c>
      <c r="U25" s="265">
        <f t="shared" si="6"/>
        <v>0</v>
      </c>
      <c r="V25" s="265">
        <f t="shared" si="6"/>
        <v>0</v>
      </c>
      <c r="W25" s="265">
        <f t="shared" si="6"/>
        <v>0</v>
      </c>
      <c r="X25" s="265">
        <f t="shared" si="6"/>
        <v>0</v>
      </c>
      <c r="Y25" s="265">
        <f t="shared" si="6"/>
        <v>0</v>
      </c>
      <c r="Z25" s="265">
        <f t="shared" si="6"/>
        <v>0</v>
      </c>
      <c r="AA25" s="265">
        <f t="shared" si="6"/>
        <v>0</v>
      </c>
      <c r="AB25" s="265">
        <f t="shared" si="6"/>
        <v>0</v>
      </c>
      <c r="AC25" s="265">
        <f t="shared" si="6"/>
        <v>0</v>
      </c>
      <c r="AD25" s="265">
        <f t="shared" si="6"/>
        <v>0</v>
      </c>
      <c r="AE25" s="265">
        <f t="shared" si="6"/>
        <v>0</v>
      </c>
      <c r="AF25" s="265">
        <f t="shared" si="6"/>
        <v>0</v>
      </c>
      <c r="AG25" s="265">
        <f t="shared" si="6"/>
        <v>0</v>
      </c>
      <c r="AH25" s="265">
        <f t="shared" si="6"/>
        <v>0</v>
      </c>
      <c r="AI25" s="265">
        <f t="shared" si="6"/>
        <v>0</v>
      </c>
      <c r="AJ25" s="265">
        <f t="shared" si="6"/>
        <v>0</v>
      </c>
      <c r="AK25" s="265">
        <f t="shared" si="6"/>
        <v>0</v>
      </c>
      <c r="AL25" s="265">
        <f t="shared" si="6"/>
        <v>0</v>
      </c>
      <c r="AM25" s="265">
        <f t="shared" si="6"/>
        <v>0</v>
      </c>
      <c r="AN25" s="265">
        <f t="shared" si="6"/>
        <v>0</v>
      </c>
      <c r="AO25" s="265">
        <f t="shared" si="6"/>
        <v>0</v>
      </c>
      <c r="AP25" s="265">
        <f t="shared" si="6"/>
        <v>0</v>
      </c>
      <c r="AQ25" s="265">
        <f t="shared" si="6"/>
        <v>0</v>
      </c>
      <c r="AR25" s="265">
        <f t="shared" si="6"/>
        <v>0</v>
      </c>
      <c r="AS25" s="265">
        <f t="shared" si="6"/>
        <v>0</v>
      </c>
      <c r="AT25" s="265">
        <f t="shared" si="6"/>
        <v>0</v>
      </c>
      <c r="AU25" s="265">
        <f t="shared" si="6"/>
        <v>0</v>
      </c>
      <c r="AV25" s="265">
        <f t="shared" si="6"/>
        <v>0</v>
      </c>
      <c r="AW25" s="265">
        <f t="shared" si="6"/>
        <v>0</v>
      </c>
      <c r="AX25" s="265">
        <f t="shared" si="6"/>
        <v>0</v>
      </c>
      <c r="AY25" s="265">
        <f t="shared" si="6"/>
        <v>0</v>
      </c>
      <c r="AZ25" s="265">
        <f t="shared" si="6"/>
        <v>0</v>
      </c>
      <c r="BA25" s="265">
        <f t="shared" si="6"/>
        <v>0</v>
      </c>
      <c r="BB25" s="265">
        <f t="shared" si="6"/>
        <v>0</v>
      </c>
      <c r="BC25" s="265">
        <f t="shared" si="6"/>
        <v>0</v>
      </c>
      <c r="BD25" s="265">
        <f t="shared" si="6"/>
        <v>0</v>
      </c>
      <c r="BE25" s="265">
        <f t="shared" si="6"/>
        <v>0</v>
      </c>
      <c r="BF25" s="265">
        <f t="shared" si="6"/>
        <v>0</v>
      </c>
      <c r="BG25" s="265">
        <f t="shared" si="6"/>
        <v>0</v>
      </c>
      <c r="BH25" s="265">
        <f t="shared" si="6"/>
        <v>0</v>
      </c>
      <c r="BI25" s="265">
        <f t="shared" si="6"/>
        <v>0</v>
      </c>
      <c r="BJ25" s="265">
        <f t="shared" si="6"/>
        <v>0</v>
      </c>
      <c r="BK25" s="265">
        <f t="shared" si="6"/>
        <v>0</v>
      </c>
      <c r="BL25" s="265">
        <f t="shared" si="6"/>
        <v>0</v>
      </c>
      <c r="BM25" s="265">
        <f t="shared" si="6"/>
        <v>0</v>
      </c>
      <c r="BN25" s="265">
        <f t="shared" si="6"/>
        <v>0</v>
      </c>
      <c r="BO25" s="265">
        <f t="shared" si="6"/>
        <v>0</v>
      </c>
      <c r="BP25" s="265">
        <f t="shared" si="6"/>
        <v>0</v>
      </c>
      <c r="BQ25" s="265">
        <f t="shared" ref="BQ25:EB25" si="7">IF(ISBLANK(BQ22),0,(BQ19*VLOOKUP(BQ22,$B$35:$D$38,3,0)))</f>
        <v>0</v>
      </c>
      <c r="BR25" s="265">
        <f t="shared" si="7"/>
        <v>0</v>
      </c>
      <c r="BS25" s="265">
        <f t="shared" si="7"/>
        <v>0</v>
      </c>
      <c r="BT25" s="265">
        <f t="shared" si="7"/>
        <v>0</v>
      </c>
      <c r="BU25" s="265">
        <f t="shared" si="7"/>
        <v>0</v>
      </c>
      <c r="BV25" s="265">
        <f t="shared" si="7"/>
        <v>0</v>
      </c>
      <c r="BW25" s="265">
        <f t="shared" si="7"/>
        <v>0</v>
      </c>
      <c r="BX25" s="265">
        <f t="shared" si="7"/>
        <v>0</v>
      </c>
      <c r="BY25" s="265">
        <f t="shared" si="7"/>
        <v>0</v>
      </c>
      <c r="BZ25" s="265">
        <f t="shared" si="7"/>
        <v>0</v>
      </c>
      <c r="CA25" s="265">
        <f t="shared" si="7"/>
        <v>0</v>
      </c>
      <c r="CB25" s="265">
        <f t="shared" si="7"/>
        <v>0</v>
      </c>
      <c r="CC25" s="265">
        <f t="shared" si="7"/>
        <v>0</v>
      </c>
      <c r="CD25" s="265">
        <f t="shared" si="7"/>
        <v>0</v>
      </c>
      <c r="CE25" s="265">
        <f t="shared" si="7"/>
        <v>0</v>
      </c>
      <c r="CF25" s="265">
        <f t="shared" si="7"/>
        <v>0</v>
      </c>
      <c r="CG25" s="265">
        <f t="shared" si="7"/>
        <v>0</v>
      </c>
      <c r="CH25" s="265">
        <f t="shared" si="7"/>
        <v>0</v>
      </c>
      <c r="CI25" s="265">
        <f t="shared" si="7"/>
        <v>0</v>
      </c>
      <c r="CJ25" s="265">
        <f t="shared" si="7"/>
        <v>0</v>
      </c>
      <c r="CK25" s="265">
        <f t="shared" si="7"/>
        <v>0</v>
      </c>
      <c r="CL25" s="265">
        <f t="shared" si="7"/>
        <v>0</v>
      </c>
      <c r="CM25" s="265">
        <f t="shared" si="7"/>
        <v>0</v>
      </c>
      <c r="CN25" s="265">
        <f t="shared" si="7"/>
        <v>0</v>
      </c>
      <c r="CO25" s="265">
        <f t="shared" si="7"/>
        <v>0</v>
      </c>
      <c r="CP25" s="265">
        <f t="shared" si="7"/>
        <v>0</v>
      </c>
      <c r="CQ25" s="265">
        <f t="shared" si="7"/>
        <v>0</v>
      </c>
      <c r="CR25" s="265">
        <f t="shared" si="7"/>
        <v>0</v>
      </c>
      <c r="CS25" s="265">
        <f t="shared" si="7"/>
        <v>0</v>
      </c>
      <c r="CT25" s="265">
        <f t="shared" si="7"/>
        <v>0</v>
      </c>
      <c r="CU25" s="265">
        <f t="shared" si="7"/>
        <v>0</v>
      </c>
      <c r="CV25" s="265">
        <f t="shared" si="7"/>
        <v>0</v>
      </c>
      <c r="CW25" s="265">
        <f t="shared" si="7"/>
        <v>0</v>
      </c>
      <c r="CX25" s="265">
        <f t="shared" si="7"/>
        <v>0</v>
      </c>
      <c r="CY25" s="265">
        <f t="shared" si="7"/>
        <v>0</v>
      </c>
      <c r="CZ25" s="265">
        <f t="shared" si="7"/>
        <v>0</v>
      </c>
      <c r="DA25" s="265">
        <f t="shared" si="7"/>
        <v>0</v>
      </c>
      <c r="DB25" s="265">
        <f t="shared" si="7"/>
        <v>0</v>
      </c>
      <c r="DC25" s="265">
        <f t="shared" si="7"/>
        <v>0</v>
      </c>
      <c r="DD25" s="265">
        <f t="shared" si="7"/>
        <v>0</v>
      </c>
      <c r="DE25" s="265">
        <f t="shared" si="7"/>
        <v>0</v>
      </c>
      <c r="DF25" s="265">
        <f t="shared" si="7"/>
        <v>0</v>
      </c>
      <c r="DG25" s="265">
        <f t="shared" si="7"/>
        <v>0</v>
      </c>
      <c r="DH25" s="265">
        <f t="shared" si="7"/>
        <v>0</v>
      </c>
      <c r="DI25" s="265">
        <f t="shared" si="7"/>
        <v>0</v>
      </c>
      <c r="DJ25" s="265">
        <f t="shared" si="7"/>
        <v>0</v>
      </c>
      <c r="DK25" s="265">
        <f t="shared" si="7"/>
        <v>0</v>
      </c>
      <c r="DL25" s="265">
        <f t="shared" si="7"/>
        <v>0</v>
      </c>
      <c r="DM25" s="265">
        <f t="shared" si="7"/>
        <v>0</v>
      </c>
      <c r="DN25" s="265">
        <f t="shared" si="7"/>
        <v>0</v>
      </c>
      <c r="DO25" s="265">
        <f t="shared" si="7"/>
        <v>0</v>
      </c>
      <c r="DP25" s="265">
        <f t="shared" si="7"/>
        <v>0</v>
      </c>
      <c r="DQ25" s="265">
        <f t="shared" si="7"/>
        <v>0</v>
      </c>
      <c r="DR25" s="265">
        <f t="shared" si="7"/>
        <v>0</v>
      </c>
      <c r="DS25" s="265">
        <f t="shared" si="7"/>
        <v>0</v>
      </c>
      <c r="DT25" s="265">
        <f t="shared" si="7"/>
        <v>0</v>
      </c>
      <c r="DU25" s="265">
        <f t="shared" si="7"/>
        <v>0</v>
      </c>
      <c r="DV25" s="265">
        <f t="shared" si="7"/>
        <v>0</v>
      </c>
      <c r="DW25" s="265">
        <f t="shared" si="7"/>
        <v>0</v>
      </c>
      <c r="DX25" s="265">
        <f t="shared" si="7"/>
        <v>0</v>
      </c>
      <c r="DY25" s="265">
        <f t="shared" si="7"/>
        <v>0</v>
      </c>
      <c r="DZ25" s="265">
        <f t="shared" si="7"/>
        <v>0</v>
      </c>
      <c r="EA25" s="265">
        <f t="shared" si="7"/>
        <v>0</v>
      </c>
      <c r="EB25" s="265">
        <f t="shared" si="7"/>
        <v>0</v>
      </c>
      <c r="EC25" s="265">
        <f t="shared" ref="EC25:GA25" si="8">IF(ISBLANK(EC22),0,(EC19*VLOOKUP(EC22,$B$35:$D$38,3,0)))</f>
        <v>0</v>
      </c>
      <c r="ED25" s="265">
        <f t="shared" si="8"/>
        <v>0</v>
      </c>
      <c r="EE25" s="265">
        <f t="shared" si="8"/>
        <v>0</v>
      </c>
      <c r="EF25" s="265">
        <f t="shared" si="8"/>
        <v>0</v>
      </c>
      <c r="EG25" s="265">
        <f t="shared" si="8"/>
        <v>0</v>
      </c>
      <c r="EH25" s="265">
        <f t="shared" si="8"/>
        <v>0</v>
      </c>
      <c r="EI25" s="265">
        <f t="shared" si="8"/>
        <v>0</v>
      </c>
      <c r="EJ25" s="265">
        <f t="shared" si="8"/>
        <v>0</v>
      </c>
      <c r="EK25" s="265">
        <f t="shared" si="8"/>
        <v>0</v>
      </c>
      <c r="EL25" s="265">
        <f t="shared" si="8"/>
        <v>0</v>
      </c>
      <c r="EM25" s="265">
        <f t="shared" si="8"/>
        <v>0</v>
      </c>
      <c r="EN25" s="265">
        <f t="shared" si="8"/>
        <v>0</v>
      </c>
      <c r="EO25" s="265">
        <f t="shared" si="8"/>
        <v>0</v>
      </c>
      <c r="EP25" s="265">
        <f t="shared" si="8"/>
        <v>0</v>
      </c>
      <c r="EQ25" s="265">
        <f t="shared" si="8"/>
        <v>0</v>
      </c>
      <c r="ER25" s="265">
        <f t="shared" si="8"/>
        <v>0</v>
      </c>
      <c r="ES25" s="265">
        <f t="shared" si="8"/>
        <v>0</v>
      </c>
      <c r="ET25" s="265">
        <f t="shared" si="8"/>
        <v>0</v>
      </c>
      <c r="EU25" s="265">
        <f t="shared" si="8"/>
        <v>0</v>
      </c>
      <c r="EV25" s="265">
        <f t="shared" si="8"/>
        <v>0</v>
      </c>
      <c r="EW25" s="265">
        <f t="shared" si="8"/>
        <v>0</v>
      </c>
      <c r="EX25" s="265">
        <f t="shared" si="8"/>
        <v>0</v>
      </c>
      <c r="EY25" s="265">
        <f t="shared" si="8"/>
        <v>0</v>
      </c>
      <c r="EZ25" s="265">
        <f t="shared" si="8"/>
        <v>0</v>
      </c>
      <c r="FA25" s="265">
        <f t="shared" si="8"/>
        <v>0</v>
      </c>
      <c r="FB25" s="265">
        <f t="shared" si="8"/>
        <v>0</v>
      </c>
      <c r="FC25" s="265">
        <f t="shared" si="8"/>
        <v>0</v>
      </c>
      <c r="FD25" s="265">
        <f t="shared" si="8"/>
        <v>0</v>
      </c>
      <c r="FE25" s="265">
        <f t="shared" si="8"/>
        <v>0</v>
      </c>
      <c r="FF25" s="265">
        <f t="shared" si="8"/>
        <v>0</v>
      </c>
      <c r="FG25" s="265">
        <f t="shared" si="8"/>
        <v>0</v>
      </c>
      <c r="FH25" s="265">
        <f t="shared" si="8"/>
        <v>0</v>
      </c>
      <c r="FI25" s="265">
        <f t="shared" si="8"/>
        <v>0</v>
      </c>
      <c r="FJ25" s="265">
        <f t="shared" si="8"/>
        <v>0</v>
      </c>
      <c r="FK25" s="265">
        <f t="shared" si="8"/>
        <v>0</v>
      </c>
      <c r="FL25" s="265">
        <f t="shared" si="8"/>
        <v>0</v>
      </c>
      <c r="FM25" s="265">
        <f t="shared" si="8"/>
        <v>0</v>
      </c>
      <c r="FN25" s="265">
        <f t="shared" si="8"/>
        <v>0</v>
      </c>
      <c r="FO25" s="265">
        <f t="shared" si="8"/>
        <v>0</v>
      </c>
      <c r="FP25" s="265">
        <f t="shared" si="8"/>
        <v>0</v>
      </c>
      <c r="FQ25" s="265">
        <f t="shared" si="8"/>
        <v>0</v>
      </c>
      <c r="FR25" s="265">
        <f t="shared" si="8"/>
        <v>0</v>
      </c>
      <c r="FS25" s="265">
        <f t="shared" si="8"/>
        <v>0</v>
      </c>
      <c r="FT25" s="265">
        <f t="shared" si="8"/>
        <v>0</v>
      </c>
      <c r="FU25" s="265">
        <f t="shared" si="8"/>
        <v>0</v>
      </c>
      <c r="FV25" s="265">
        <f t="shared" si="8"/>
        <v>0</v>
      </c>
      <c r="FW25" s="265">
        <f t="shared" si="8"/>
        <v>0</v>
      </c>
      <c r="FX25" s="265">
        <f t="shared" si="8"/>
        <v>0</v>
      </c>
      <c r="FY25" s="265">
        <f t="shared" si="8"/>
        <v>0</v>
      </c>
      <c r="FZ25" s="265">
        <f t="shared" si="8"/>
        <v>0</v>
      </c>
      <c r="GA25" s="265">
        <f t="shared" si="8"/>
        <v>0</v>
      </c>
      <c r="GB25" s="191"/>
    </row>
    <row r="26" spans="1:184" s="179" customFormat="1" ht="12.95" customHeight="1" x14ac:dyDescent="0.25">
      <c r="A26" s="171">
        <v>332</v>
      </c>
      <c r="B26" s="182"/>
      <c r="C26" s="177" t="s">
        <v>454</v>
      </c>
      <c r="D26" s="265">
        <f>IF(ISBLANK(D22),0,(D18*1000*VLOOKUP(D22,$B$35:$D$38,2,0)))</f>
        <v>25000</v>
      </c>
      <c r="E26" s="265">
        <f t="shared" ref="E26:BP26" si="9">IF(ISBLANK(E22),0,(E18*1000*VLOOKUP(E22,$B$35:$D$38,2,0)))</f>
        <v>4000</v>
      </c>
      <c r="F26" s="265">
        <f t="shared" si="9"/>
        <v>3000</v>
      </c>
      <c r="G26" s="265">
        <f t="shared" si="9"/>
        <v>2000</v>
      </c>
      <c r="H26" s="265">
        <f t="shared" si="9"/>
        <v>3000</v>
      </c>
      <c r="I26" s="265">
        <f t="shared" si="9"/>
        <v>150000</v>
      </c>
      <c r="J26" s="265">
        <f t="shared" si="9"/>
        <v>0</v>
      </c>
      <c r="K26" s="265">
        <f t="shared" si="9"/>
        <v>0</v>
      </c>
      <c r="L26" s="265">
        <f t="shared" si="9"/>
        <v>0</v>
      </c>
      <c r="M26" s="265">
        <f t="shared" si="9"/>
        <v>0</v>
      </c>
      <c r="N26" s="265">
        <f t="shared" si="9"/>
        <v>0</v>
      </c>
      <c r="O26" s="265">
        <f t="shared" si="9"/>
        <v>0</v>
      </c>
      <c r="P26" s="265">
        <f t="shared" si="9"/>
        <v>0</v>
      </c>
      <c r="Q26" s="265">
        <f t="shared" si="9"/>
        <v>0</v>
      </c>
      <c r="R26" s="265">
        <f t="shared" si="9"/>
        <v>0</v>
      </c>
      <c r="S26" s="265">
        <f t="shared" si="9"/>
        <v>0</v>
      </c>
      <c r="T26" s="265">
        <f t="shared" si="9"/>
        <v>0</v>
      </c>
      <c r="U26" s="265">
        <f t="shared" si="9"/>
        <v>0</v>
      </c>
      <c r="V26" s="265">
        <f t="shared" si="9"/>
        <v>0</v>
      </c>
      <c r="W26" s="265">
        <f t="shared" si="9"/>
        <v>0</v>
      </c>
      <c r="X26" s="265">
        <f t="shared" si="9"/>
        <v>0</v>
      </c>
      <c r="Y26" s="265">
        <f t="shared" si="9"/>
        <v>0</v>
      </c>
      <c r="Z26" s="265">
        <f t="shared" si="9"/>
        <v>0</v>
      </c>
      <c r="AA26" s="265">
        <f t="shared" si="9"/>
        <v>0</v>
      </c>
      <c r="AB26" s="265">
        <f t="shared" si="9"/>
        <v>0</v>
      </c>
      <c r="AC26" s="265">
        <f t="shared" si="9"/>
        <v>0</v>
      </c>
      <c r="AD26" s="265">
        <f t="shared" si="9"/>
        <v>0</v>
      </c>
      <c r="AE26" s="265">
        <f t="shared" si="9"/>
        <v>0</v>
      </c>
      <c r="AF26" s="265">
        <f t="shared" si="9"/>
        <v>0</v>
      </c>
      <c r="AG26" s="265">
        <f t="shared" si="9"/>
        <v>0</v>
      </c>
      <c r="AH26" s="265">
        <f t="shared" si="9"/>
        <v>0</v>
      </c>
      <c r="AI26" s="265">
        <f t="shared" si="9"/>
        <v>0</v>
      </c>
      <c r="AJ26" s="265">
        <f t="shared" si="9"/>
        <v>0</v>
      </c>
      <c r="AK26" s="265">
        <f t="shared" si="9"/>
        <v>0</v>
      </c>
      <c r="AL26" s="265">
        <f t="shared" si="9"/>
        <v>0</v>
      </c>
      <c r="AM26" s="265">
        <f t="shared" si="9"/>
        <v>0</v>
      </c>
      <c r="AN26" s="265">
        <f t="shared" si="9"/>
        <v>0</v>
      </c>
      <c r="AO26" s="265">
        <f t="shared" si="9"/>
        <v>0</v>
      </c>
      <c r="AP26" s="265">
        <f t="shared" si="9"/>
        <v>0</v>
      </c>
      <c r="AQ26" s="265">
        <f t="shared" si="9"/>
        <v>0</v>
      </c>
      <c r="AR26" s="265">
        <f t="shared" si="9"/>
        <v>0</v>
      </c>
      <c r="AS26" s="265">
        <f t="shared" si="9"/>
        <v>0</v>
      </c>
      <c r="AT26" s="265">
        <f t="shared" si="9"/>
        <v>0</v>
      </c>
      <c r="AU26" s="265">
        <f t="shared" si="9"/>
        <v>0</v>
      </c>
      <c r="AV26" s="265">
        <f t="shared" si="9"/>
        <v>0</v>
      </c>
      <c r="AW26" s="265">
        <f t="shared" si="9"/>
        <v>0</v>
      </c>
      <c r="AX26" s="265">
        <f t="shared" si="9"/>
        <v>0</v>
      </c>
      <c r="AY26" s="265">
        <f t="shared" si="9"/>
        <v>0</v>
      </c>
      <c r="AZ26" s="265">
        <f t="shared" si="9"/>
        <v>0</v>
      </c>
      <c r="BA26" s="265">
        <f t="shared" si="9"/>
        <v>0</v>
      </c>
      <c r="BB26" s="265">
        <f t="shared" si="9"/>
        <v>0</v>
      </c>
      <c r="BC26" s="265">
        <f t="shared" si="9"/>
        <v>0</v>
      </c>
      <c r="BD26" s="265">
        <f t="shared" si="9"/>
        <v>0</v>
      </c>
      <c r="BE26" s="265">
        <f t="shared" si="9"/>
        <v>0</v>
      </c>
      <c r="BF26" s="265">
        <f t="shared" si="9"/>
        <v>0</v>
      </c>
      <c r="BG26" s="265">
        <f t="shared" si="9"/>
        <v>0</v>
      </c>
      <c r="BH26" s="265">
        <f t="shared" si="9"/>
        <v>0</v>
      </c>
      <c r="BI26" s="265">
        <f t="shared" si="9"/>
        <v>0</v>
      </c>
      <c r="BJ26" s="265">
        <f t="shared" si="9"/>
        <v>0</v>
      </c>
      <c r="BK26" s="265">
        <f t="shared" si="9"/>
        <v>0</v>
      </c>
      <c r="BL26" s="265">
        <f t="shared" si="9"/>
        <v>0</v>
      </c>
      <c r="BM26" s="265">
        <f t="shared" si="9"/>
        <v>0</v>
      </c>
      <c r="BN26" s="265">
        <f t="shared" si="9"/>
        <v>0</v>
      </c>
      <c r="BO26" s="265">
        <f t="shared" si="9"/>
        <v>0</v>
      </c>
      <c r="BP26" s="265">
        <f t="shared" si="9"/>
        <v>0</v>
      </c>
      <c r="BQ26" s="265">
        <f t="shared" ref="BQ26:EB26" si="10">IF(ISBLANK(BQ22),0,(BQ18*1000*VLOOKUP(BQ22,$B$35:$D$38,2,0)))</f>
        <v>0</v>
      </c>
      <c r="BR26" s="265">
        <f t="shared" si="10"/>
        <v>0</v>
      </c>
      <c r="BS26" s="265">
        <f t="shared" si="10"/>
        <v>0</v>
      </c>
      <c r="BT26" s="265">
        <f t="shared" si="10"/>
        <v>0</v>
      </c>
      <c r="BU26" s="265">
        <f t="shared" si="10"/>
        <v>0</v>
      </c>
      <c r="BV26" s="265">
        <f t="shared" si="10"/>
        <v>0</v>
      </c>
      <c r="BW26" s="265">
        <f t="shared" si="10"/>
        <v>0</v>
      </c>
      <c r="BX26" s="265">
        <f t="shared" si="10"/>
        <v>0</v>
      </c>
      <c r="BY26" s="265">
        <f t="shared" si="10"/>
        <v>0</v>
      </c>
      <c r="BZ26" s="265">
        <f t="shared" si="10"/>
        <v>0</v>
      </c>
      <c r="CA26" s="265">
        <f t="shared" si="10"/>
        <v>0</v>
      </c>
      <c r="CB26" s="265">
        <f t="shared" si="10"/>
        <v>0</v>
      </c>
      <c r="CC26" s="265">
        <f t="shared" si="10"/>
        <v>0</v>
      </c>
      <c r="CD26" s="265">
        <f t="shared" si="10"/>
        <v>0</v>
      </c>
      <c r="CE26" s="265">
        <f t="shared" si="10"/>
        <v>0</v>
      </c>
      <c r="CF26" s="265">
        <f t="shared" si="10"/>
        <v>0</v>
      </c>
      <c r="CG26" s="265">
        <f t="shared" si="10"/>
        <v>0</v>
      </c>
      <c r="CH26" s="265">
        <f t="shared" si="10"/>
        <v>0</v>
      </c>
      <c r="CI26" s="265">
        <f t="shared" si="10"/>
        <v>0</v>
      </c>
      <c r="CJ26" s="265">
        <f t="shared" si="10"/>
        <v>0</v>
      </c>
      <c r="CK26" s="265">
        <f t="shared" si="10"/>
        <v>0</v>
      </c>
      <c r="CL26" s="265">
        <f t="shared" si="10"/>
        <v>0</v>
      </c>
      <c r="CM26" s="265">
        <f t="shared" si="10"/>
        <v>0</v>
      </c>
      <c r="CN26" s="265">
        <f t="shared" si="10"/>
        <v>0</v>
      </c>
      <c r="CO26" s="265">
        <f t="shared" si="10"/>
        <v>0</v>
      </c>
      <c r="CP26" s="265">
        <f t="shared" si="10"/>
        <v>0</v>
      </c>
      <c r="CQ26" s="265">
        <f t="shared" si="10"/>
        <v>0</v>
      </c>
      <c r="CR26" s="265">
        <f t="shared" si="10"/>
        <v>0</v>
      </c>
      <c r="CS26" s="265">
        <f t="shared" si="10"/>
        <v>0</v>
      </c>
      <c r="CT26" s="265">
        <f t="shared" si="10"/>
        <v>0</v>
      </c>
      <c r="CU26" s="265">
        <f t="shared" si="10"/>
        <v>0</v>
      </c>
      <c r="CV26" s="265">
        <f t="shared" si="10"/>
        <v>0</v>
      </c>
      <c r="CW26" s="265">
        <f t="shared" si="10"/>
        <v>0</v>
      </c>
      <c r="CX26" s="265">
        <f t="shared" si="10"/>
        <v>0</v>
      </c>
      <c r="CY26" s="265">
        <f t="shared" si="10"/>
        <v>0</v>
      </c>
      <c r="CZ26" s="265">
        <f t="shared" si="10"/>
        <v>0</v>
      </c>
      <c r="DA26" s="265">
        <f t="shared" si="10"/>
        <v>0</v>
      </c>
      <c r="DB26" s="265">
        <f t="shared" si="10"/>
        <v>0</v>
      </c>
      <c r="DC26" s="265">
        <f t="shared" si="10"/>
        <v>0</v>
      </c>
      <c r="DD26" s="265">
        <f t="shared" si="10"/>
        <v>0</v>
      </c>
      <c r="DE26" s="265">
        <f t="shared" si="10"/>
        <v>0</v>
      </c>
      <c r="DF26" s="265">
        <f t="shared" si="10"/>
        <v>0</v>
      </c>
      <c r="DG26" s="265">
        <f t="shared" si="10"/>
        <v>0</v>
      </c>
      <c r="DH26" s="265">
        <f t="shared" si="10"/>
        <v>0</v>
      </c>
      <c r="DI26" s="265">
        <f t="shared" si="10"/>
        <v>0</v>
      </c>
      <c r="DJ26" s="265">
        <f t="shared" si="10"/>
        <v>0</v>
      </c>
      <c r="DK26" s="265">
        <f t="shared" si="10"/>
        <v>0</v>
      </c>
      <c r="DL26" s="265">
        <f t="shared" si="10"/>
        <v>0</v>
      </c>
      <c r="DM26" s="265">
        <f t="shared" si="10"/>
        <v>0</v>
      </c>
      <c r="DN26" s="265">
        <f t="shared" si="10"/>
        <v>0</v>
      </c>
      <c r="DO26" s="265">
        <f t="shared" si="10"/>
        <v>0</v>
      </c>
      <c r="DP26" s="265">
        <f t="shared" si="10"/>
        <v>0</v>
      </c>
      <c r="DQ26" s="265">
        <f t="shared" si="10"/>
        <v>0</v>
      </c>
      <c r="DR26" s="265">
        <f t="shared" si="10"/>
        <v>0</v>
      </c>
      <c r="DS26" s="265">
        <f t="shared" si="10"/>
        <v>0</v>
      </c>
      <c r="DT26" s="265">
        <f t="shared" si="10"/>
        <v>0</v>
      </c>
      <c r="DU26" s="265">
        <f t="shared" si="10"/>
        <v>0</v>
      </c>
      <c r="DV26" s="265">
        <f t="shared" si="10"/>
        <v>0</v>
      </c>
      <c r="DW26" s="265">
        <f t="shared" si="10"/>
        <v>0</v>
      </c>
      <c r="DX26" s="265">
        <f t="shared" si="10"/>
        <v>0</v>
      </c>
      <c r="DY26" s="265">
        <f t="shared" si="10"/>
        <v>0</v>
      </c>
      <c r="DZ26" s="265">
        <f t="shared" si="10"/>
        <v>0</v>
      </c>
      <c r="EA26" s="265">
        <f t="shared" si="10"/>
        <v>0</v>
      </c>
      <c r="EB26" s="265">
        <f t="shared" si="10"/>
        <v>0</v>
      </c>
      <c r="EC26" s="265">
        <f t="shared" ref="EC26:GA26" si="11">IF(ISBLANK(EC22),0,(EC18*1000*VLOOKUP(EC22,$B$35:$D$38,2,0)))</f>
        <v>0</v>
      </c>
      <c r="ED26" s="265">
        <f t="shared" si="11"/>
        <v>0</v>
      </c>
      <c r="EE26" s="265">
        <f t="shared" si="11"/>
        <v>0</v>
      </c>
      <c r="EF26" s="265">
        <f t="shared" si="11"/>
        <v>0</v>
      </c>
      <c r="EG26" s="265">
        <f t="shared" si="11"/>
        <v>0</v>
      </c>
      <c r="EH26" s="265">
        <f t="shared" si="11"/>
        <v>0</v>
      </c>
      <c r="EI26" s="265">
        <f t="shared" si="11"/>
        <v>0</v>
      </c>
      <c r="EJ26" s="265">
        <f t="shared" si="11"/>
        <v>0</v>
      </c>
      <c r="EK26" s="265">
        <f t="shared" si="11"/>
        <v>0</v>
      </c>
      <c r="EL26" s="265">
        <f t="shared" si="11"/>
        <v>0</v>
      </c>
      <c r="EM26" s="265">
        <f t="shared" si="11"/>
        <v>0</v>
      </c>
      <c r="EN26" s="265">
        <f t="shared" si="11"/>
        <v>0</v>
      </c>
      <c r="EO26" s="265">
        <f t="shared" si="11"/>
        <v>0</v>
      </c>
      <c r="EP26" s="265">
        <f t="shared" si="11"/>
        <v>0</v>
      </c>
      <c r="EQ26" s="265">
        <f t="shared" si="11"/>
        <v>0</v>
      </c>
      <c r="ER26" s="265">
        <f t="shared" si="11"/>
        <v>0</v>
      </c>
      <c r="ES26" s="265">
        <f t="shared" si="11"/>
        <v>0</v>
      </c>
      <c r="ET26" s="265">
        <f t="shared" si="11"/>
        <v>0</v>
      </c>
      <c r="EU26" s="265">
        <f t="shared" si="11"/>
        <v>0</v>
      </c>
      <c r="EV26" s="265">
        <f t="shared" si="11"/>
        <v>0</v>
      </c>
      <c r="EW26" s="265">
        <f t="shared" si="11"/>
        <v>0</v>
      </c>
      <c r="EX26" s="265">
        <f t="shared" si="11"/>
        <v>0</v>
      </c>
      <c r="EY26" s="265">
        <f t="shared" si="11"/>
        <v>0</v>
      </c>
      <c r="EZ26" s="265">
        <f t="shared" si="11"/>
        <v>0</v>
      </c>
      <c r="FA26" s="265">
        <f t="shared" si="11"/>
        <v>0</v>
      </c>
      <c r="FB26" s="265">
        <f t="shared" si="11"/>
        <v>0</v>
      </c>
      <c r="FC26" s="265">
        <f t="shared" si="11"/>
        <v>0</v>
      </c>
      <c r="FD26" s="265">
        <f t="shared" si="11"/>
        <v>0</v>
      </c>
      <c r="FE26" s="265">
        <f t="shared" si="11"/>
        <v>0</v>
      </c>
      <c r="FF26" s="265">
        <f t="shared" si="11"/>
        <v>0</v>
      </c>
      <c r="FG26" s="265">
        <f t="shared" si="11"/>
        <v>0</v>
      </c>
      <c r="FH26" s="265">
        <f t="shared" si="11"/>
        <v>0</v>
      </c>
      <c r="FI26" s="265">
        <f t="shared" si="11"/>
        <v>0</v>
      </c>
      <c r="FJ26" s="265">
        <f t="shared" si="11"/>
        <v>0</v>
      </c>
      <c r="FK26" s="265">
        <f t="shared" si="11"/>
        <v>0</v>
      </c>
      <c r="FL26" s="265">
        <f t="shared" si="11"/>
        <v>0</v>
      </c>
      <c r="FM26" s="265">
        <f t="shared" si="11"/>
        <v>0</v>
      </c>
      <c r="FN26" s="265">
        <f t="shared" si="11"/>
        <v>0</v>
      </c>
      <c r="FO26" s="265">
        <f t="shared" si="11"/>
        <v>0</v>
      </c>
      <c r="FP26" s="265">
        <f t="shared" si="11"/>
        <v>0</v>
      </c>
      <c r="FQ26" s="265">
        <f t="shared" si="11"/>
        <v>0</v>
      </c>
      <c r="FR26" s="265">
        <f t="shared" si="11"/>
        <v>0</v>
      </c>
      <c r="FS26" s="265">
        <f t="shared" si="11"/>
        <v>0</v>
      </c>
      <c r="FT26" s="265">
        <f t="shared" si="11"/>
        <v>0</v>
      </c>
      <c r="FU26" s="265">
        <f t="shared" si="11"/>
        <v>0</v>
      </c>
      <c r="FV26" s="265">
        <f t="shared" si="11"/>
        <v>0</v>
      </c>
      <c r="FW26" s="265">
        <f t="shared" si="11"/>
        <v>0</v>
      </c>
      <c r="FX26" s="265">
        <f t="shared" si="11"/>
        <v>0</v>
      </c>
      <c r="FY26" s="265">
        <f t="shared" si="11"/>
        <v>0</v>
      </c>
      <c r="FZ26" s="265">
        <f t="shared" si="11"/>
        <v>0</v>
      </c>
      <c r="GA26" s="265">
        <f t="shared" si="11"/>
        <v>0</v>
      </c>
    </row>
    <row r="27" spans="1:184" s="194" customFormat="1" ht="12.95" customHeight="1" x14ac:dyDescent="0.25">
      <c r="A27" s="171">
        <v>333</v>
      </c>
      <c r="B27" s="182"/>
      <c r="C27" s="177" t="s">
        <v>455</v>
      </c>
      <c r="D27" s="193">
        <f>IF(ISBLANK(D22),0,SUM(D25:D26))</f>
        <v>37750</v>
      </c>
      <c r="E27" s="193">
        <f t="shared" ref="E27:BP27" si="12">IF(ISBLANK(E22),0,SUM(E25:E26))</f>
        <v>6750</v>
      </c>
      <c r="F27" s="193">
        <f t="shared" si="12"/>
        <v>5200</v>
      </c>
      <c r="G27" s="193">
        <f t="shared" si="12"/>
        <v>3650</v>
      </c>
      <c r="H27" s="193">
        <f t="shared" si="12"/>
        <v>4700</v>
      </c>
      <c r="I27" s="193">
        <f t="shared" si="12"/>
        <v>225000</v>
      </c>
      <c r="J27" s="193">
        <f t="shared" si="12"/>
        <v>0</v>
      </c>
      <c r="K27" s="193">
        <f t="shared" si="12"/>
        <v>0</v>
      </c>
      <c r="L27" s="193">
        <f t="shared" si="12"/>
        <v>0</v>
      </c>
      <c r="M27" s="193">
        <f t="shared" si="12"/>
        <v>0</v>
      </c>
      <c r="N27" s="193">
        <f t="shared" si="12"/>
        <v>0</v>
      </c>
      <c r="O27" s="193">
        <f t="shared" si="12"/>
        <v>0</v>
      </c>
      <c r="P27" s="193">
        <f t="shared" si="12"/>
        <v>0</v>
      </c>
      <c r="Q27" s="193">
        <f t="shared" si="12"/>
        <v>0</v>
      </c>
      <c r="R27" s="193">
        <f t="shared" si="12"/>
        <v>0</v>
      </c>
      <c r="S27" s="193">
        <f t="shared" si="12"/>
        <v>0</v>
      </c>
      <c r="T27" s="193">
        <f t="shared" si="12"/>
        <v>0</v>
      </c>
      <c r="U27" s="193">
        <f t="shared" si="12"/>
        <v>0</v>
      </c>
      <c r="V27" s="193">
        <f t="shared" si="12"/>
        <v>0</v>
      </c>
      <c r="W27" s="193">
        <f t="shared" si="12"/>
        <v>0</v>
      </c>
      <c r="X27" s="193">
        <f t="shared" si="12"/>
        <v>0</v>
      </c>
      <c r="Y27" s="193">
        <f t="shared" si="12"/>
        <v>0</v>
      </c>
      <c r="Z27" s="193">
        <f t="shared" si="12"/>
        <v>0</v>
      </c>
      <c r="AA27" s="193">
        <f t="shared" si="12"/>
        <v>0</v>
      </c>
      <c r="AB27" s="193">
        <f t="shared" si="12"/>
        <v>0</v>
      </c>
      <c r="AC27" s="193">
        <f t="shared" si="12"/>
        <v>0</v>
      </c>
      <c r="AD27" s="193">
        <f t="shared" si="12"/>
        <v>0</v>
      </c>
      <c r="AE27" s="193">
        <f t="shared" si="12"/>
        <v>0</v>
      </c>
      <c r="AF27" s="193">
        <f t="shared" si="12"/>
        <v>0</v>
      </c>
      <c r="AG27" s="193">
        <f t="shared" si="12"/>
        <v>0</v>
      </c>
      <c r="AH27" s="193">
        <f t="shared" si="12"/>
        <v>0</v>
      </c>
      <c r="AI27" s="193">
        <f t="shared" si="12"/>
        <v>0</v>
      </c>
      <c r="AJ27" s="193">
        <f t="shared" si="12"/>
        <v>0</v>
      </c>
      <c r="AK27" s="193">
        <f t="shared" si="12"/>
        <v>0</v>
      </c>
      <c r="AL27" s="193">
        <f t="shared" si="12"/>
        <v>0</v>
      </c>
      <c r="AM27" s="193">
        <f t="shared" si="12"/>
        <v>0</v>
      </c>
      <c r="AN27" s="193">
        <f t="shared" si="12"/>
        <v>0</v>
      </c>
      <c r="AO27" s="193">
        <f t="shared" si="12"/>
        <v>0</v>
      </c>
      <c r="AP27" s="193">
        <f t="shared" si="12"/>
        <v>0</v>
      </c>
      <c r="AQ27" s="193">
        <f t="shared" si="12"/>
        <v>0</v>
      </c>
      <c r="AR27" s="193">
        <f t="shared" si="12"/>
        <v>0</v>
      </c>
      <c r="AS27" s="193">
        <f t="shared" si="12"/>
        <v>0</v>
      </c>
      <c r="AT27" s="193">
        <f t="shared" si="12"/>
        <v>0</v>
      </c>
      <c r="AU27" s="193">
        <f t="shared" si="12"/>
        <v>0</v>
      </c>
      <c r="AV27" s="193">
        <f t="shared" si="12"/>
        <v>0</v>
      </c>
      <c r="AW27" s="193">
        <f t="shared" si="12"/>
        <v>0</v>
      </c>
      <c r="AX27" s="193">
        <f t="shared" si="12"/>
        <v>0</v>
      </c>
      <c r="AY27" s="193">
        <f t="shared" si="12"/>
        <v>0</v>
      </c>
      <c r="AZ27" s="193">
        <f t="shared" si="12"/>
        <v>0</v>
      </c>
      <c r="BA27" s="193">
        <f t="shared" si="12"/>
        <v>0</v>
      </c>
      <c r="BB27" s="193">
        <f t="shared" si="12"/>
        <v>0</v>
      </c>
      <c r="BC27" s="193">
        <f t="shared" si="12"/>
        <v>0</v>
      </c>
      <c r="BD27" s="193">
        <f t="shared" si="12"/>
        <v>0</v>
      </c>
      <c r="BE27" s="193">
        <f t="shared" si="12"/>
        <v>0</v>
      </c>
      <c r="BF27" s="193">
        <f t="shared" si="12"/>
        <v>0</v>
      </c>
      <c r="BG27" s="193">
        <f t="shared" si="12"/>
        <v>0</v>
      </c>
      <c r="BH27" s="193">
        <f t="shared" si="12"/>
        <v>0</v>
      </c>
      <c r="BI27" s="193">
        <f t="shared" si="12"/>
        <v>0</v>
      </c>
      <c r="BJ27" s="193">
        <f t="shared" si="12"/>
        <v>0</v>
      </c>
      <c r="BK27" s="193">
        <f t="shared" si="12"/>
        <v>0</v>
      </c>
      <c r="BL27" s="193">
        <f t="shared" si="12"/>
        <v>0</v>
      </c>
      <c r="BM27" s="193">
        <f t="shared" si="12"/>
        <v>0</v>
      </c>
      <c r="BN27" s="193">
        <f t="shared" si="12"/>
        <v>0</v>
      </c>
      <c r="BO27" s="193">
        <f t="shared" si="12"/>
        <v>0</v>
      </c>
      <c r="BP27" s="193">
        <f t="shared" si="12"/>
        <v>0</v>
      </c>
      <c r="BQ27" s="193">
        <f t="shared" ref="BQ27:EB27" si="13">IF(ISBLANK(BQ22),0,SUM(BQ25:BQ26))</f>
        <v>0</v>
      </c>
      <c r="BR27" s="193">
        <f t="shared" si="13"/>
        <v>0</v>
      </c>
      <c r="BS27" s="193">
        <f t="shared" si="13"/>
        <v>0</v>
      </c>
      <c r="BT27" s="193">
        <f t="shared" si="13"/>
        <v>0</v>
      </c>
      <c r="BU27" s="193">
        <f t="shared" si="13"/>
        <v>0</v>
      </c>
      <c r="BV27" s="193">
        <f t="shared" si="13"/>
        <v>0</v>
      </c>
      <c r="BW27" s="193">
        <f t="shared" si="13"/>
        <v>0</v>
      </c>
      <c r="BX27" s="193">
        <f t="shared" si="13"/>
        <v>0</v>
      </c>
      <c r="BY27" s="193">
        <f t="shared" si="13"/>
        <v>0</v>
      </c>
      <c r="BZ27" s="193">
        <f t="shared" si="13"/>
        <v>0</v>
      </c>
      <c r="CA27" s="193">
        <f t="shared" si="13"/>
        <v>0</v>
      </c>
      <c r="CB27" s="193">
        <f t="shared" si="13"/>
        <v>0</v>
      </c>
      <c r="CC27" s="193">
        <f t="shared" si="13"/>
        <v>0</v>
      </c>
      <c r="CD27" s="193">
        <f t="shared" si="13"/>
        <v>0</v>
      </c>
      <c r="CE27" s="193">
        <f t="shared" si="13"/>
        <v>0</v>
      </c>
      <c r="CF27" s="193">
        <f t="shared" si="13"/>
        <v>0</v>
      </c>
      <c r="CG27" s="193">
        <f t="shared" si="13"/>
        <v>0</v>
      </c>
      <c r="CH27" s="193">
        <f t="shared" si="13"/>
        <v>0</v>
      </c>
      <c r="CI27" s="193">
        <f t="shared" si="13"/>
        <v>0</v>
      </c>
      <c r="CJ27" s="193">
        <f t="shared" si="13"/>
        <v>0</v>
      </c>
      <c r="CK27" s="193">
        <f t="shared" si="13"/>
        <v>0</v>
      </c>
      <c r="CL27" s="193">
        <f t="shared" si="13"/>
        <v>0</v>
      </c>
      <c r="CM27" s="193">
        <f t="shared" si="13"/>
        <v>0</v>
      </c>
      <c r="CN27" s="193">
        <f t="shared" si="13"/>
        <v>0</v>
      </c>
      <c r="CO27" s="193">
        <f t="shared" si="13"/>
        <v>0</v>
      </c>
      <c r="CP27" s="193">
        <f t="shared" si="13"/>
        <v>0</v>
      </c>
      <c r="CQ27" s="193">
        <f t="shared" si="13"/>
        <v>0</v>
      </c>
      <c r="CR27" s="193">
        <f t="shared" si="13"/>
        <v>0</v>
      </c>
      <c r="CS27" s="193">
        <f t="shared" si="13"/>
        <v>0</v>
      </c>
      <c r="CT27" s="193">
        <f t="shared" si="13"/>
        <v>0</v>
      </c>
      <c r="CU27" s="193">
        <f t="shared" si="13"/>
        <v>0</v>
      </c>
      <c r="CV27" s="193">
        <f t="shared" si="13"/>
        <v>0</v>
      </c>
      <c r="CW27" s="193">
        <f t="shared" si="13"/>
        <v>0</v>
      </c>
      <c r="CX27" s="193">
        <f t="shared" si="13"/>
        <v>0</v>
      </c>
      <c r="CY27" s="193">
        <f t="shared" si="13"/>
        <v>0</v>
      </c>
      <c r="CZ27" s="193">
        <f t="shared" si="13"/>
        <v>0</v>
      </c>
      <c r="DA27" s="193">
        <f t="shared" si="13"/>
        <v>0</v>
      </c>
      <c r="DB27" s="193">
        <f t="shared" si="13"/>
        <v>0</v>
      </c>
      <c r="DC27" s="193">
        <f t="shared" si="13"/>
        <v>0</v>
      </c>
      <c r="DD27" s="193">
        <f t="shared" si="13"/>
        <v>0</v>
      </c>
      <c r="DE27" s="193">
        <f t="shared" si="13"/>
        <v>0</v>
      </c>
      <c r="DF27" s="193">
        <f t="shared" si="13"/>
        <v>0</v>
      </c>
      <c r="DG27" s="193">
        <f t="shared" si="13"/>
        <v>0</v>
      </c>
      <c r="DH27" s="193">
        <f t="shared" si="13"/>
        <v>0</v>
      </c>
      <c r="DI27" s="193">
        <f t="shared" si="13"/>
        <v>0</v>
      </c>
      <c r="DJ27" s="193">
        <f t="shared" si="13"/>
        <v>0</v>
      </c>
      <c r="DK27" s="193">
        <f t="shared" si="13"/>
        <v>0</v>
      </c>
      <c r="DL27" s="193">
        <f t="shared" si="13"/>
        <v>0</v>
      </c>
      <c r="DM27" s="193">
        <f t="shared" si="13"/>
        <v>0</v>
      </c>
      <c r="DN27" s="193">
        <f t="shared" si="13"/>
        <v>0</v>
      </c>
      <c r="DO27" s="193">
        <f t="shared" si="13"/>
        <v>0</v>
      </c>
      <c r="DP27" s="193">
        <f t="shared" si="13"/>
        <v>0</v>
      </c>
      <c r="DQ27" s="193">
        <f t="shared" si="13"/>
        <v>0</v>
      </c>
      <c r="DR27" s="193">
        <f t="shared" si="13"/>
        <v>0</v>
      </c>
      <c r="DS27" s="193">
        <f t="shared" si="13"/>
        <v>0</v>
      </c>
      <c r="DT27" s="193">
        <f t="shared" si="13"/>
        <v>0</v>
      </c>
      <c r="DU27" s="193">
        <f t="shared" si="13"/>
        <v>0</v>
      </c>
      <c r="DV27" s="193">
        <f t="shared" si="13"/>
        <v>0</v>
      </c>
      <c r="DW27" s="193">
        <f t="shared" si="13"/>
        <v>0</v>
      </c>
      <c r="DX27" s="193">
        <f t="shared" si="13"/>
        <v>0</v>
      </c>
      <c r="DY27" s="193">
        <f t="shared" si="13"/>
        <v>0</v>
      </c>
      <c r="DZ27" s="193">
        <f t="shared" si="13"/>
        <v>0</v>
      </c>
      <c r="EA27" s="193">
        <f t="shared" si="13"/>
        <v>0</v>
      </c>
      <c r="EB27" s="193">
        <f t="shared" si="13"/>
        <v>0</v>
      </c>
      <c r="EC27" s="193">
        <f t="shared" ref="EC27:GA27" si="14">IF(ISBLANK(EC22),0,SUM(EC25:EC26))</f>
        <v>0</v>
      </c>
      <c r="ED27" s="193">
        <f t="shared" si="14"/>
        <v>0</v>
      </c>
      <c r="EE27" s="193">
        <f t="shared" si="14"/>
        <v>0</v>
      </c>
      <c r="EF27" s="193">
        <f t="shared" si="14"/>
        <v>0</v>
      </c>
      <c r="EG27" s="193">
        <f t="shared" si="14"/>
        <v>0</v>
      </c>
      <c r="EH27" s="193">
        <f t="shared" si="14"/>
        <v>0</v>
      </c>
      <c r="EI27" s="193">
        <f t="shared" si="14"/>
        <v>0</v>
      </c>
      <c r="EJ27" s="193">
        <f t="shared" si="14"/>
        <v>0</v>
      </c>
      <c r="EK27" s="193">
        <f t="shared" si="14"/>
        <v>0</v>
      </c>
      <c r="EL27" s="193">
        <f t="shared" si="14"/>
        <v>0</v>
      </c>
      <c r="EM27" s="193">
        <f t="shared" si="14"/>
        <v>0</v>
      </c>
      <c r="EN27" s="193">
        <f t="shared" si="14"/>
        <v>0</v>
      </c>
      <c r="EO27" s="193">
        <f t="shared" si="14"/>
        <v>0</v>
      </c>
      <c r="EP27" s="193">
        <f t="shared" si="14"/>
        <v>0</v>
      </c>
      <c r="EQ27" s="193">
        <f t="shared" si="14"/>
        <v>0</v>
      </c>
      <c r="ER27" s="193">
        <f t="shared" si="14"/>
        <v>0</v>
      </c>
      <c r="ES27" s="193">
        <f t="shared" si="14"/>
        <v>0</v>
      </c>
      <c r="ET27" s="193">
        <f t="shared" si="14"/>
        <v>0</v>
      </c>
      <c r="EU27" s="193">
        <f t="shared" si="14"/>
        <v>0</v>
      </c>
      <c r="EV27" s="193">
        <f t="shared" si="14"/>
        <v>0</v>
      </c>
      <c r="EW27" s="193">
        <f t="shared" si="14"/>
        <v>0</v>
      </c>
      <c r="EX27" s="193">
        <f t="shared" si="14"/>
        <v>0</v>
      </c>
      <c r="EY27" s="193">
        <f t="shared" si="14"/>
        <v>0</v>
      </c>
      <c r="EZ27" s="193">
        <f t="shared" si="14"/>
        <v>0</v>
      </c>
      <c r="FA27" s="193">
        <f t="shared" si="14"/>
        <v>0</v>
      </c>
      <c r="FB27" s="193">
        <f t="shared" si="14"/>
        <v>0</v>
      </c>
      <c r="FC27" s="193">
        <f t="shared" si="14"/>
        <v>0</v>
      </c>
      <c r="FD27" s="193">
        <f t="shared" si="14"/>
        <v>0</v>
      </c>
      <c r="FE27" s="193">
        <f t="shared" si="14"/>
        <v>0</v>
      </c>
      <c r="FF27" s="193">
        <f t="shared" si="14"/>
        <v>0</v>
      </c>
      <c r="FG27" s="193">
        <f t="shared" si="14"/>
        <v>0</v>
      </c>
      <c r="FH27" s="193">
        <f t="shared" si="14"/>
        <v>0</v>
      </c>
      <c r="FI27" s="193">
        <f t="shared" si="14"/>
        <v>0</v>
      </c>
      <c r="FJ27" s="193">
        <f t="shared" si="14"/>
        <v>0</v>
      </c>
      <c r="FK27" s="193">
        <f t="shared" si="14"/>
        <v>0</v>
      </c>
      <c r="FL27" s="193">
        <f t="shared" si="14"/>
        <v>0</v>
      </c>
      <c r="FM27" s="193">
        <f t="shared" si="14"/>
        <v>0</v>
      </c>
      <c r="FN27" s="193">
        <f t="shared" si="14"/>
        <v>0</v>
      </c>
      <c r="FO27" s="193">
        <f t="shared" si="14"/>
        <v>0</v>
      </c>
      <c r="FP27" s="193">
        <f t="shared" si="14"/>
        <v>0</v>
      </c>
      <c r="FQ27" s="193">
        <f t="shared" si="14"/>
        <v>0</v>
      </c>
      <c r="FR27" s="193">
        <f t="shared" si="14"/>
        <v>0</v>
      </c>
      <c r="FS27" s="193">
        <f t="shared" si="14"/>
        <v>0</v>
      </c>
      <c r="FT27" s="193">
        <f t="shared" si="14"/>
        <v>0</v>
      </c>
      <c r="FU27" s="193">
        <f t="shared" si="14"/>
        <v>0</v>
      </c>
      <c r="FV27" s="193">
        <f t="shared" si="14"/>
        <v>0</v>
      </c>
      <c r="FW27" s="193">
        <f t="shared" si="14"/>
        <v>0</v>
      </c>
      <c r="FX27" s="193">
        <f t="shared" si="14"/>
        <v>0</v>
      </c>
      <c r="FY27" s="193">
        <f t="shared" si="14"/>
        <v>0</v>
      </c>
      <c r="FZ27" s="193">
        <f t="shared" si="14"/>
        <v>0</v>
      </c>
      <c r="GA27" s="193">
        <f t="shared" si="14"/>
        <v>0</v>
      </c>
      <c r="GB27" s="179"/>
    </row>
    <row r="28" spans="1:184" s="198" customFormat="1" ht="12.95" customHeight="1" x14ac:dyDescent="0.25">
      <c r="A28" s="171">
        <v>334</v>
      </c>
      <c r="B28" s="195"/>
      <c r="C28" s="196" t="s">
        <v>456</v>
      </c>
      <c r="D28" s="197">
        <f>IF(ISBLANK(D23),0,SUM(D24:D26))</f>
        <v>41750</v>
      </c>
      <c r="E28" s="197">
        <f t="shared" ref="E28:BP28" si="15">IF(ISBLANK(E23),0,SUM(E24:E26))</f>
        <v>8416.6666666666679</v>
      </c>
      <c r="F28" s="197">
        <f t="shared" si="15"/>
        <v>5200</v>
      </c>
      <c r="G28" s="197">
        <f t="shared" si="15"/>
        <v>3650</v>
      </c>
      <c r="H28" s="197">
        <f t="shared" si="15"/>
        <v>5700</v>
      </c>
      <c r="I28" s="197">
        <f t="shared" si="15"/>
        <v>275000</v>
      </c>
      <c r="J28" s="197">
        <f t="shared" si="15"/>
        <v>0</v>
      </c>
      <c r="K28" s="197">
        <f t="shared" si="15"/>
        <v>0</v>
      </c>
      <c r="L28" s="197">
        <f t="shared" si="15"/>
        <v>0</v>
      </c>
      <c r="M28" s="197">
        <f t="shared" si="15"/>
        <v>0</v>
      </c>
      <c r="N28" s="197">
        <f t="shared" si="15"/>
        <v>0</v>
      </c>
      <c r="O28" s="197">
        <f t="shared" si="15"/>
        <v>0</v>
      </c>
      <c r="P28" s="197">
        <f t="shared" si="15"/>
        <v>0</v>
      </c>
      <c r="Q28" s="197">
        <f t="shared" si="15"/>
        <v>0</v>
      </c>
      <c r="R28" s="197">
        <f t="shared" si="15"/>
        <v>0</v>
      </c>
      <c r="S28" s="197">
        <f t="shared" si="15"/>
        <v>0</v>
      </c>
      <c r="T28" s="197">
        <f t="shared" si="15"/>
        <v>0</v>
      </c>
      <c r="U28" s="197">
        <f t="shared" si="15"/>
        <v>0</v>
      </c>
      <c r="V28" s="197">
        <f t="shared" si="15"/>
        <v>0</v>
      </c>
      <c r="W28" s="197">
        <f t="shared" si="15"/>
        <v>0</v>
      </c>
      <c r="X28" s="197">
        <f t="shared" si="15"/>
        <v>0</v>
      </c>
      <c r="Y28" s="197">
        <f t="shared" si="15"/>
        <v>0</v>
      </c>
      <c r="Z28" s="197">
        <f t="shared" si="15"/>
        <v>0</v>
      </c>
      <c r="AA28" s="197">
        <f t="shared" si="15"/>
        <v>0</v>
      </c>
      <c r="AB28" s="197">
        <f t="shared" si="15"/>
        <v>0</v>
      </c>
      <c r="AC28" s="197">
        <f t="shared" si="15"/>
        <v>0</v>
      </c>
      <c r="AD28" s="197">
        <f t="shared" si="15"/>
        <v>0</v>
      </c>
      <c r="AE28" s="197">
        <f t="shared" si="15"/>
        <v>0</v>
      </c>
      <c r="AF28" s="197">
        <f t="shared" si="15"/>
        <v>0</v>
      </c>
      <c r="AG28" s="197">
        <f t="shared" si="15"/>
        <v>0</v>
      </c>
      <c r="AH28" s="197">
        <f t="shared" si="15"/>
        <v>0</v>
      </c>
      <c r="AI28" s="197">
        <f t="shared" si="15"/>
        <v>0</v>
      </c>
      <c r="AJ28" s="197">
        <f t="shared" si="15"/>
        <v>0</v>
      </c>
      <c r="AK28" s="197">
        <f t="shared" si="15"/>
        <v>0</v>
      </c>
      <c r="AL28" s="197">
        <f t="shared" si="15"/>
        <v>0</v>
      </c>
      <c r="AM28" s="197">
        <f t="shared" si="15"/>
        <v>0</v>
      </c>
      <c r="AN28" s="197">
        <f t="shared" si="15"/>
        <v>0</v>
      </c>
      <c r="AO28" s="197">
        <f t="shared" si="15"/>
        <v>0</v>
      </c>
      <c r="AP28" s="197">
        <f t="shared" si="15"/>
        <v>0</v>
      </c>
      <c r="AQ28" s="197">
        <f t="shared" si="15"/>
        <v>0</v>
      </c>
      <c r="AR28" s="197">
        <f t="shared" si="15"/>
        <v>0</v>
      </c>
      <c r="AS28" s="197">
        <f t="shared" si="15"/>
        <v>0</v>
      </c>
      <c r="AT28" s="197">
        <f t="shared" si="15"/>
        <v>0</v>
      </c>
      <c r="AU28" s="197">
        <f t="shared" si="15"/>
        <v>0</v>
      </c>
      <c r="AV28" s="197">
        <f t="shared" si="15"/>
        <v>0</v>
      </c>
      <c r="AW28" s="197">
        <f t="shared" si="15"/>
        <v>0</v>
      </c>
      <c r="AX28" s="197">
        <f t="shared" si="15"/>
        <v>0</v>
      </c>
      <c r="AY28" s="197">
        <f t="shared" si="15"/>
        <v>0</v>
      </c>
      <c r="AZ28" s="197">
        <f t="shared" si="15"/>
        <v>0</v>
      </c>
      <c r="BA28" s="197">
        <f t="shared" si="15"/>
        <v>0</v>
      </c>
      <c r="BB28" s="197">
        <f t="shared" si="15"/>
        <v>0</v>
      </c>
      <c r="BC28" s="197">
        <f t="shared" si="15"/>
        <v>0</v>
      </c>
      <c r="BD28" s="197">
        <f t="shared" si="15"/>
        <v>0</v>
      </c>
      <c r="BE28" s="197">
        <f t="shared" si="15"/>
        <v>0</v>
      </c>
      <c r="BF28" s="197">
        <f t="shared" si="15"/>
        <v>0</v>
      </c>
      <c r="BG28" s="197">
        <f t="shared" si="15"/>
        <v>0</v>
      </c>
      <c r="BH28" s="197">
        <f t="shared" si="15"/>
        <v>0</v>
      </c>
      <c r="BI28" s="197">
        <f t="shared" si="15"/>
        <v>0</v>
      </c>
      <c r="BJ28" s="197">
        <f t="shared" si="15"/>
        <v>0</v>
      </c>
      <c r="BK28" s="197">
        <f t="shared" si="15"/>
        <v>0</v>
      </c>
      <c r="BL28" s="197">
        <f t="shared" si="15"/>
        <v>0</v>
      </c>
      <c r="BM28" s="197">
        <f t="shared" si="15"/>
        <v>0</v>
      </c>
      <c r="BN28" s="197">
        <f t="shared" si="15"/>
        <v>0</v>
      </c>
      <c r="BO28" s="197">
        <f t="shared" si="15"/>
        <v>0</v>
      </c>
      <c r="BP28" s="197">
        <f t="shared" si="15"/>
        <v>0</v>
      </c>
      <c r="BQ28" s="197">
        <f t="shared" ref="BQ28:EB28" si="16">IF(ISBLANK(BQ23),0,SUM(BQ24:BQ26))</f>
        <v>0</v>
      </c>
      <c r="BR28" s="197">
        <f t="shared" si="16"/>
        <v>0</v>
      </c>
      <c r="BS28" s="197">
        <f t="shared" si="16"/>
        <v>0</v>
      </c>
      <c r="BT28" s="197">
        <f t="shared" si="16"/>
        <v>0</v>
      </c>
      <c r="BU28" s="197">
        <f t="shared" si="16"/>
        <v>0</v>
      </c>
      <c r="BV28" s="197">
        <f t="shared" si="16"/>
        <v>0</v>
      </c>
      <c r="BW28" s="197">
        <f t="shared" si="16"/>
        <v>0</v>
      </c>
      <c r="BX28" s="197">
        <f t="shared" si="16"/>
        <v>0</v>
      </c>
      <c r="BY28" s="197">
        <f t="shared" si="16"/>
        <v>0</v>
      </c>
      <c r="BZ28" s="197">
        <f t="shared" si="16"/>
        <v>0</v>
      </c>
      <c r="CA28" s="197">
        <f t="shared" si="16"/>
        <v>0</v>
      </c>
      <c r="CB28" s="197">
        <f t="shared" si="16"/>
        <v>0</v>
      </c>
      <c r="CC28" s="197">
        <f t="shared" si="16"/>
        <v>0</v>
      </c>
      <c r="CD28" s="197">
        <f t="shared" si="16"/>
        <v>0</v>
      </c>
      <c r="CE28" s="197">
        <f t="shared" si="16"/>
        <v>0</v>
      </c>
      <c r="CF28" s="197">
        <f t="shared" si="16"/>
        <v>0</v>
      </c>
      <c r="CG28" s="197">
        <f t="shared" si="16"/>
        <v>0</v>
      </c>
      <c r="CH28" s="197">
        <f t="shared" si="16"/>
        <v>0</v>
      </c>
      <c r="CI28" s="197">
        <f t="shared" si="16"/>
        <v>0</v>
      </c>
      <c r="CJ28" s="197">
        <f t="shared" si="16"/>
        <v>0</v>
      </c>
      <c r="CK28" s="197">
        <f t="shared" si="16"/>
        <v>0</v>
      </c>
      <c r="CL28" s="197">
        <f t="shared" si="16"/>
        <v>0</v>
      </c>
      <c r="CM28" s="197">
        <f t="shared" si="16"/>
        <v>0</v>
      </c>
      <c r="CN28" s="197">
        <f t="shared" si="16"/>
        <v>0</v>
      </c>
      <c r="CO28" s="197">
        <f t="shared" si="16"/>
        <v>0</v>
      </c>
      <c r="CP28" s="197">
        <f t="shared" si="16"/>
        <v>0</v>
      </c>
      <c r="CQ28" s="197">
        <f t="shared" si="16"/>
        <v>0</v>
      </c>
      <c r="CR28" s="197">
        <f t="shared" si="16"/>
        <v>0</v>
      </c>
      <c r="CS28" s="197">
        <f t="shared" si="16"/>
        <v>0</v>
      </c>
      <c r="CT28" s="197">
        <f t="shared" si="16"/>
        <v>0</v>
      </c>
      <c r="CU28" s="197">
        <f t="shared" si="16"/>
        <v>0</v>
      </c>
      <c r="CV28" s="197">
        <f t="shared" si="16"/>
        <v>0</v>
      </c>
      <c r="CW28" s="197">
        <f t="shared" si="16"/>
        <v>0</v>
      </c>
      <c r="CX28" s="197">
        <f t="shared" si="16"/>
        <v>0</v>
      </c>
      <c r="CY28" s="197">
        <f t="shared" si="16"/>
        <v>0</v>
      </c>
      <c r="CZ28" s="197">
        <f t="shared" si="16"/>
        <v>0</v>
      </c>
      <c r="DA28" s="197">
        <f t="shared" si="16"/>
        <v>0</v>
      </c>
      <c r="DB28" s="197">
        <f t="shared" si="16"/>
        <v>0</v>
      </c>
      <c r="DC28" s="197">
        <f t="shared" si="16"/>
        <v>0</v>
      </c>
      <c r="DD28" s="197">
        <f t="shared" si="16"/>
        <v>0</v>
      </c>
      <c r="DE28" s="197">
        <f t="shared" si="16"/>
        <v>0</v>
      </c>
      <c r="DF28" s="197">
        <f t="shared" si="16"/>
        <v>0</v>
      </c>
      <c r="DG28" s="197">
        <f t="shared" si="16"/>
        <v>0</v>
      </c>
      <c r="DH28" s="197">
        <f t="shared" si="16"/>
        <v>0</v>
      </c>
      <c r="DI28" s="197">
        <f t="shared" si="16"/>
        <v>0</v>
      </c>
      <c r="DJ28" s="197">
        <f t="shared" si="16"/>
        <v>0</v>
      </c>
      <c r="DK28" s="197">
        <f t="shared" si="16"/>
        <v>0</v>
      </c>
      <c r="DL28" s="197">
        <f t="shared" si="16"/>
        <v>0</v>
      </c>
      <c r="DM28" s="197">
        <f t="shared" si="16"/>
        <v>0</v>
      </c>
      <c r="DN28" s="197">
        <f t="shared" si="16"/>
        <v>0</v>
      </c>
      <c r="DO28" s="197">
        <f t="shared" si="16"/>
        <v>0</v>
      </c>
      <c r="DP28" s="197">
        <f t="shared" si="16"/>
        <v>0</v>
      </c>
      <c r="DQ28" s="197">
        <f t="shared" si="16"/>
        <v>0</v>
      </c>
      <c r="DR28" s="197">
        <f t="shared" si="16"/>
        <v>0</v>
      </c>
      <c r="DS28" s="197">
        <f t="shared" si="16"/>
        <v>0</v>
      </c>
      <c r="DT28" s="197">
        <f t="shared" si="16"/>
        <v>0</v>
      </c>
      <c r="DU28" s="197">
        <f t="shared" si="16"/>
        <v>0</v>
      </c>
      <c r="DV28" s="197">
        <f t="shared" si="16"/>
        <v>0</v>
      </c>
      <c r="DW28" s="197">
        <f t="shared" si="16"/>
        <v>0</v>
      </c>
      <c r="DX28" s="197">
        <f t="shared" si="16"/>
        <v>0</v>
      </c>
      <c r="DY28" s="197">
        <f t="shared" si="16"/>
        <v>0</v>
      </c>
      <c r="DZ28" s="197">
        <f t="shared" si="16"/>
        <v>0</v>
      </c>
      <c r="EA28" s="197">
        <f t="shared" si="16"/>
        <v>0</v>
      </c>
      <c r="EB28" s="197">
        <f t="shared" si="16"/>
        <v>0</v>
      </c>
      <c r="EC28" s="197">
        <f t="shared" ref="EC28:GA28" si="17">IF(ISBLANK(EC23),0,SUM(EC24:EC26))</f>
        <v>0</v>
      </c>
      <c r="ED28" s="197">
        <f t="shared" si="17"/>
        <v>0</v>
      </c>
      <c r="EE28" s="197">
        <f t="shared" si="17"/>
        <v>0</v>
      </c>
      <c r="EF28" s="197">
        <f t="shared" si="17"/>
        <v>0</v>
      </c>
      <c r="EG28" s="197">
        <f t="shared" si="17"/>
        <v>0</v>
      </c>
      <c r="EH28" s="197">
        <f t="shared" si="17"/>
        <v>0</v>
      </c>
      <c r="EI28" s="197">
        <f t="shared" si="17"/>
        <v>0</v>
      </c>
      <c r="EJ28" s="197">
        <f t="shared" si="17"/>
        <v>0</v>
      </c>
      <c r="EK28" s="197">
        <f t="shared" si="17"/>
        <v>0</v>
      </c>
      <c r="EL28" s="197">
        <f t="shared" si="17"/>
        <v>0</v>
      </c>
      <c r="EM28" s="197">
        <f t="shared" si="17"/>
        <v>0</v>
      </c>
      <c r="EN28" s="197">
        <f t="shared" si="17"/>
        <v>0</v>
      </c>
      <c r="EO28" s="197">
        <f t="shared" si="17"/>
        <v>0</v>
      </c>
      <c r="EP28" s="197">
        <f t="shared" si="17"/>
        <v>0</v>
      </c>
      <c r="EQ28" s="197">
        <f t="shared" si="17"/>
        <v>0</v>
      </c>
      <c r="ER28" s="197">
        <f t="shared" si="17"/>
        <v>0</v>
      </c>
      <c r="ES28" s="197">
        <f t="shared" si="17"/>
        <v>0</v>
      </c>
      <c r="ET28" s="197">
        <f t="shared" si="17"/>
        <v>0</v>
      </c>
      <c r="EU28" s="197">
        <f t="shared" si="17"/>
        <v>0</v>
      </c>
      <c r="EV28" s="197">
        <f t="shared" si="17"/>
        <v>0</v>
      </c>
      <c r="EW28" s="197">
        <f t="shared" si="17"/>
        <v>0</v>
      </c>
      <c r="EX28" s="197">
        <f t="shared" si="17"/>
        <v>0</v>
      </c>
      <c r="EY28" s="197">
        <f t="shared" si="17"/>
        <v>0</v>
      </c>
      <c r="EZ28" s="197">
        <f t="shared" si="17"/>
        <v>0</v>
      </c>
      <c r="FA28" s="197">
        <f t="shared" si="17"/>
        <v>0</v>
      </c>
      <c r="FB28" s="197">
        <f t="shared" si="17"/>
        <v>0</v>
      </c>
      <c r="FC28" s="197">
        <f t="shared" si="17"/>
        <v>0</v>
      </c>
      <c r="FD28" s="197">
        <f t="shared" si="17"/>
        <v>0</v>
      </c>
      <c r="FE28" s="197">
        <f t="shared" si="17"/>
        <v>0</v>
      </c>
      <c r="FF28" s="197">
        <f t="shared" si="17"/>
        <v>0</v>
      </c>
      <c r="FG28" s="197">
        <f t="shared" si="17"/>
        <v>0</v>
      </c>
      <c r="FH28" s="197">
        <f t="shared" si="17"/>
        <v>0</v>
      </c>
      <c r="FI28" s="197">
        <f t="shared" si="17"/>
        <v>0</v>
      </c>
      <c r="FJ28" s="197">
        <f t="shared" si="17"/>
        <v>0</v>
      </c>
      <c r="FK28" s="197">
        <f t="shared" si="17"/>
        <v>0</v>
      </c>
      <c r="FL28" s="197">
        <f t="shared" si="17"/>
        <v>0</v>
      </c>
      <c r="FM28" s="197">
        <f t="shared" si="17"/>
        <v>0</v>
      </c>
      <c r="FN28" s="197">
        <f t="shared" si="17"/>
        <v>0</v>
      </c>
      <c r="FO28" s="197">
        <f t="shared" si="17"/>
        <v>0</v>
      </c>
      <c r="FP28" s="197">
        <f t="shared" si="17"/>
        <v>0</v>
      </c>
      <c r="FQ28" s="197">
        <f t="shared" si="17"/>
        <v>0</v>
      </c>
      <c r="FR28" s="197">
        <f t="shared" si="17"/>
        <v>0</v>
      </c>
      <c r="FS28" s="197">
        <f t="shared" si="17"/>
        <v>0</v>
      </c>
      <c r="FT28" s="197">
        <f t="shared" si="17"/>
        <v>0</v>
      </c>
      <c r="FU28" s="197">
        <f t="shared" si="17"/>
        <v>0</v>
      </c>
      <c r="FV28" s="197">
        <f t="shared" si="17"/>
        <v>0</v>
      </c>
      <c r="FW28" s="197">
        <f t="shared" si="17"/>
        <v>0</v>
      </c>
      <c r="FX28" s="197">
        <f t="shared" si="17"/>
        <v>0</v>
      </c>
      <c r="FY28" s="197">
        <f t="shared" si="17"/>
        <v>0</v>
      </c>
      <c r="FZ28" s="197">
        <f t="shared" si="17"/>
        <v>0</v>
      </c>
      <c r="GA28" s="197">
        <f t="shared" si="17"/>
        <v>0</v>
      </c>
      <c r="GB28" s="179"/>
    </row>
    <row r="29" spans="1:184" s="200" customFormat="1" ht="12.75" customHeight="1" x14ac:dyDescent="0.25">
      <c r="A29" s="171">
        <v>335</v>
      </c>
      <c r="B29" s="195"/>
      <c r="C29" s="196" t="s">
        <v>457</v>
      </c>
      <c r="D29" s="199">
        <f>IF(ISBLANK(D18),0,(D28/D18/10))</f>
        <v>16.7</v>
      </c>
      <c r="E29" s="199">
        <f t="shared" ref="E29:BP29" si="18">IF(ISBLANK(E18),0,(E28/E18/10))</f>
        <v>21.041666666666668</v>
      </c>
      <c r="F29" s="199">
        <f t="shared" si="18"/>
        <v>17.333333333333336</v>
      </c>
      <c r="G29" s="199">
        <f t="shared" si="18"/>
        <v>18.25</v>
      </c>
      <c r="H29" s="199">
        <f t="shared" si="18"/>
        <v>19</v>
      </c>
      <c r="I29" s="199">
        <f t="shared" si="18"/>
        <v>18.333333333333336</v>
      </c>
      <c r="J29" s="199">
        <f t="shared" si="18"/>
        <v>0</v>
      </c>
      <c r="K29" s="199">
        <f t="shared" si="18"/>
        <v>0</v>
      </c>
      <c r="L29" s="199">
        <f t="shared" si="18"/>
        <v>0</v>
      </c>
      <c r="M29" s="199">
        <f t="shared" si="18"/>
        <v>0</v>
      </c>
      <c r="N29" s="199">
        <f t="shared" si="18"/>
        <v>0</v>
      </c>
      <c r="O29" s="199">
        <f t="shared" si="18"/>
        <v>0</v>
      </c>
      <c r="P29" s="199">
        <f t="shared" si="18"/>
        <v>0</v>
      </c>
      <c r="Q29" s="199">
        <f t="shared" si="18"/>
        <v>0</v>
      </c>
      <c r="R29" s="199">
        <f t="shared" si="18"/>
        <v>0</v>
      </c>
      <c r="S29" s="199">
        <f t="shared" si="18"/>
        <v>0</v>
      </c>
      <c r="T29" s="199">
        <f t="shared" si="18"/>
        <v>0</v>
      </c>
      <c r="U29" s="199">
        <f t="shared" si="18"/>
        <v>0</v>
      </c>
      <c r="V29" s="199">
        <f t="shared" si="18"/>
        <v>0</v>
      </c>
      <c r="W29" s="199">
        <f t="shared" si="18"/>
        <v>0</v>
      </c>
      <c r="X29" s="199">
        <f t="shared" si="18"/>
        <v>0</v>
      </c>
      <c r="Y29" s="199">
        <f t="shared" si="18"/>
        <v>0</v>
      </c>
      <c r="Z29" s="199">
        <f t="shared" si="18"/>
        <v>0</v>
      </c>
      <c r="AA29" s="199">
        <f t="shared" si="18"/>
        <v>0</v>
      </c>
      <c r="AB29" s="199">
        <f t="shared" si="18"/>
        <v>0</v>
      </c>
      <c r="AC29" s="199">
        <f t="shared" si="18"/>
        <v>0</v>
      </c>
      <c r="AD29" s="199">
        <f t="shared" si="18"/>
        <v>0</v>
      </c>
      <c r="AE29" s="199">
        <f t="shared" si="18"/>
        <v>0</v>
      </c>
      <c r="AF29" s="199">
        <f t="shared" si="18"/>
        <v>0</v>
      </c>
      <c r="AG29" s="199">
        <f t="shared" si="18"/>
        <v>0</v>
      </c>
      <c r="AH29" s="199">
        <f t="shared" si="18"/>
        <v>0</v>
      </c>
      <c r="AI29" s="199">
        <f t="shared" si="18"/>
        <v>0</v>
      </c>
      <c r="AJ29" s="199">
        <f t="shared" si="18"/>
        <v>0</v>
      </c>
      <c r="AK29" s="199">
        <f t="shared" si="18"/>
        <v>0</v>
      </c>
      <c r="AL29" s="199">
        <f t="shared" si="18"/>
        <v>0</v>
      </c>
      <c r="AM29" s="199">
        <f t="shared" si="18"/>
        <v>0</v>
      </c>
      <c r="AN29" s="199">
        <f t="shared" si="18"/>
        <v>0</v>
      </c>
      <c r="AO29" s="199">
        <f t="shared" si="18"/>
        <v>0</v>
      </c>
      <c r="AP29" s="199">
        <f t="shared" si="18"/>
        <v>0</v>
      </c>
      <c r="AQ29" s="199">
        <f t="shared" si="18"/>
        <v>0</v>
      </c>
      <c r="AR29" s="199">
        <f t="shared" si="18"/>
        <v>0</v>
      </c>
      <c r="AS29" s="199">
        <f t="shared" si="18"/>
        <v>0</v>
      </c>
      <c r="AT29" s="199">
        <f t="shared" si="18"/>
        <v>0</v>
      </c>
      <c r="AU29" s="199">
        <f t="shared" si="18"/>
        <v>0</v>
      </c>
      <c r="AV29" s="199">
        <f t="shared" si="18"/>
        <v>0</v>
      </c>
      <c r="AW29" s="199">
        <f t="shared" si="18"/>
        <v>0</v>
      </c>
      <c r="AX29" s="199">
        <f t="shared" si="18"/>
        <v>0</v>
      </c>
      <c r="AY29" s="199">
        <f t="shared" si="18"/>
        <v>0</v>
      </c>
      <c r="AZ29" s="199">
        <f t="shared" si="18"/>
        <v>0</v>
      </c>
      <c r="BA29" s="199">
        <f t="shared" si="18"/>
        <v>0</v>
      </c>
      <c r="BB29" s="199">
        <f t="shared" si="18"/>
        <v>0</v>
      </c>
      <c r="BC29" s="199">
        <f t="shared" si="18"/>
        <v>0</v>
      </c>
      <c r="BD29" s="199">
        <f t="shared" si="18"/>
        <v>0</v>
      </c>
      <c r="BE29" s="199">
        <f t="shared" si="18"/>
        <v>0</v>
      </c>
      <c r="BF29" s="199">
        <f t="shared" si="18"/>
        <v>0</v>
      </c>
      <c r="BG29" s="199">
        <f t="shared" si="18"/>
        <v>0</v>
      </c>
      <c r="BH29" s="199">
        <f t="shared" si="18"/>
        <v>0</v>
      </c>
      <c r="BI29" s="199">
        <f t="shared" si="18"/>
        <v>0</v>
      </c>
      <c r="BJ29" s="199">
        <f t="shared" si="18"/>
        <v>0</v>
      </c>
      <c r="BK29" s="199">
        <f t="shared" si="18"/>
        <v>0</v>
      </c>
      <c r="BL29" s="199">
        <f t="shared" si="18"/>
        <v>0</v>
      </c>
      <c r="BM29" s="199">
        <f t="shared" si="18"/>
        <v>0</v>
      </c>
      <c r="BN29" s="199">
        <f t="shared" si="18"/>
        <v>0</v>
      </c>
      <c r="BO29" s="199">
        <f t="shared" si="18"/>
        <v>0</v>
      </c>
      <c r="BP29" s="199">
        <f t="shared" si="18"/>
        <v>0</v>
      </c>
      <c r="BQ29" s="199">
        <f t="shared" ref="BQ29:EB29" si="19">IF(ISBLANK(BQ18),0,(BQ28/BQ18/10))</f>
        <v>0</v>
      </c>
      <c r="BR29" s="199">
        <f t="shared" si="19"/>
        <v>0</v>
      </c>
      <c r="BS29" s="199">
        <f t="shared" si="19"/>
        <v>0</v>
      </c>
      <c r="BT29" s="199">
        <f t="shared" si="19"/>
        <v>0</v>
      </c>
      <c r="BU29" s="199">
        <f t="shared" si="19"/>
        <v>0</v>
      </c>
      <c r="BV29" s="199">
        <f t="shared" si="19"/>
        <v>0</v>
      </c>
      <c r="BW29" s="199">
        <f t="shared" si="19"/>
        <v>0</v>
      </c>
      <c r="BX29" s="199">
        <f t="shared" si="19"/>
        <v>0</v>
      </c>
      <c r="BY29" s="199">
        <f t="shared" si="19"/>
        <v>0</v>
      </c>
      <c r="BZ29" s="199">
        <f t="shared" si="19"/>
        <v>0</v>
      </c>
      <c r="CA29" s="199">
        <f t="shared" si="19"/>
        <v>0</v>
      </c>
      <c r="CB29" s="199">
        <f t="shared" si="19"/>
        <v>0</v>
      </c>
      <c r="CC29" s="199">
        <f t="shared" si="19"/>
        <v>0</v>
      </c>
      <c r="CD29" s="199">
        <f t="shared" si="19"/>
        <v>0</v>
      </c>
      <c r="CE29" s="199">
        <f t="shared" si="19"/>
        <v>0</v>
      </c>
      <c r="CF29" s="199">
        <f t="shared" si="19"/>
        <v>0</v>
      </c>
      <c r="CG29" s="199">
        <f t="shared" si="19"/>
        <v>0</v>
      </c>
      <c r="CH29" s="199">
        <f t="shared" si="19"/>
        <v>0</v>
      </c>
      <c r="CI29" s="199">
        <f t="shared" si="19"/>
        <v>0</v>
      </c>
      <c r="CJ29" s="199">
        <f t="shared" si="19"/>
        <v>0</v>
      </c>
      <c r="CK29" s="199">
        <f t="shared" si="19"/>
        <v>0</v>
      </c>
      <c r="CL29" s="199">
        <f t="shared" si="19"/>
        <v>0</v>
      </c>
      <c r="CM29" s="199">
        <f t="shared" si="19"/>
        <v>0</v>
      </c>
      <c r="CN29" s="199">
        <f t="shared" si="19"/>
        <v>0</v>
      </c>
      <c r="CO29" s="199">
        <f t="shared" si="19"/>
        <v>0</v>
      </c>
      <c r="CP29" s="199">
        <f t="shared" si="19"/>
        <v>0</v>
      </c>
      <c r="CQ29" s="199">
        <f t="shared" si="19"/>
        <v>0</v>
      </c>
      <c r="CR29" s="199">
        <f t="shared" si="19"/>
        <v>0</v>
      </c>
      <c r="CS29" s="199">
        <f t="shared" si="19"/>
        <v>0</v>
      </c>
      <c r="CT29" s="199">
        <f t="shared" si="19"/>
        <v>0</v>
      </c>
      <c r="CU29" s="199">
        <f t="shared" si="19"/>
        <v>0</v>
      </c>
      <c r="CV29" s="199">
        <f t="shared" si="19"/>
        <v>0</v>
      </c>
      <c r="CW29" s="199">
        <f t="shared" si="19"/>
        <v>0</v>
      </c>
      <c r="CX29" s="199">
        <f t="shared" si="19"/>
        <v>0</v>
      </c>
      <c r="CY29" s="199">
        <f t="shared" si="19"/>
        <v>0</v>
      </c>
      <c r="CZ29" s="199">
        <f t="shared" si="19"/>
        <v>0</v>
      </c>
      <c r="DA29" s="199">
        <f t="shared" si="19"/>
        <v>0</v>
      </c>
      <c r="DB29" s="199">
        <f t="shared" si="19"/>
        <v>0</v>
      </c>
      <c r="DC29" s="199">
        <f t="shared" si="19"/>
        <v>0</v>
      </c>
      <c r="DD29" s="199">
        <f t="shared" si="19"/>
        <v>0</v>
      </c>
      <c r="DE29" s="199">
        <f t="shared" si="19"/>
        <v>0</v>
      </c>
      <c r="DF29" s="199">
        <f t="shared" si="19"/>
        <v>0</v>
      </c>
      <c r="DG29" s="199">
        <f t="shared" si="19"/>
        <v>0</v>
      </c>
      <c r="DH29" s="199">
        <f t="shared" si="19"/>
        <v>0</v>
      </c>
      <c r="DI29" s="199">
        <f t="shared" si="19"/>
        <v>0</v>
      </c>
      <c r="DJ29" s="199">
        <f t="shared" si="19"/>
        <v>0</v>
      </c>
      <c r="DK29" s="199">
        <f t="shared" si="19"/>
        <v>0</v>
      </c>
      <c r="DL29" s="199">
        <f t="shared" si="19"/>
        <v>0</v>
      </c>
      <c r="DM29" s="199">
        <f t="shared" si="19"/>
        <v>0</v>
      </c>
      <c r="DN29" s="199">
        <f t="shared" si="19"/>
        <v>0</v>
      </c>
      <c r="DO29" s="199">
        <f t="shared" si="19"/>
        <v>0</v>
      </c>
      <c r="DP29" s="199">
        <f t="shared" si="19"/>
        <v>0</v>
      </c>
      <c r="DQ29" s="199">
        <f t="shared" si="19"/>
        <v>0</v>
      </c>
      <c r="DR29" s="199">
        <f t="shared" si="19"/>
        <v>0</v>
      </c>
      <c r="DS29" s="199">
        <f t="shared" si="19"/>
        <v>0</v>
      </c>
      <c r="DT29" s="199">
        <f t="shared" si="19"/>
        <v>0</v>
      </c>
      <c r="DU29" s="199">
        <f t="shared" si="19"/>
        <v>0</v>
      </c>
      <c r="DV29" s="199">
        <f t="shared" si="19"/>
        <v>0</v>
      </c>
      <c r="DW29" s="199">
        <f t="shared" si="19"/>
        <v>0</v>
      </c>
      <c r="DX29" s="199">
        <f t="shared" si="19"/>
        <v>0</v>
      </c>
      <c r="DY29" s="199">
        <f t="shared" si="19"/>
        <v>0</v>
      </c>
      <c r="DZ29" s="199">
        <f t="shared" si="19"/>
        <v>0</v>
      </c>
      <c r="EA29" s="199">
        <f t="shared" si="19"/>
        <v>0</v>
      </c>
      <c r="EB29" s="199">
        <f t="shared" si="19"/>
        <v>0</v>
      </c>
      <c r="EC29" s="199">
        <f t="shared" ref="EC29:GA29" si="20">IF(ISBLANK(EC18),0,(EC28/EC18/10))</f>
        <v>0</v>
      </c>
      <c r="ED29" s="199">
        <f t="shared" si="20"/>
        <v>0</v>
      </c>
      <c r="EE29" s="199">
        <f t="shared" si="20"/>
        <v>0</v>
      </c>
      <c r="EF29" s="199">
        <f t="shared" si="20"/>
        <v>0</v>
      </c>
      <c r="EG29" s="199">
        <f t="shared" si="20"/>
        <v>0</v>
      </c>
      <c r="EH29" s="199">
        <f t="shared" si="20"/>
        <v>0</v>
      </c>
      <c r="EI29" s="199">
        <f t="shared" si="20"/>
        <v>0</v>
      </c>
      <c r="EJ29" s="199">
        <f t="shared" si="20"/>
        <v>0</v>
      </c>
      <c r="EK29" s="199">
        <f t="shared" si="20"/>
        <v>0</v>
      </c>
      <c r="EL29" s="199">
        <f t="shared" si="20"/>
        <v>0</v>
      </c>
      <c r="EM29" s="199">
        <f t="shared" si="20"/>
        <v>0</v>
      </c>
      <c r="EN29" s="199">
        <f t="shared" si="20"/>
        <v>0</v>
      </c>
      <c r="EO29" s="199">
        <f t="shared" si="20"/>
        <v>0</v>
      </c>
      <c r="EP29" s="199">
        <f t="shared" si="20"/>
        <v>0</v>
      </c>
      <c r="EQ29" s="199">
        <f t="shared" si="20"/>
        <v>0</v>
      </c>
      <c r="ER29" s="199">
        <f t="shared" si="20"/>
        <v>0</v>
      </c>
      <c r="ES29" s="199">
        <f t="shared" si="20"/>
        <v>0</v>
      </c>
      <c r="ET29" s="199">
        <f t="shared" si="20"/>
        <v>0</v>
      </c>
      <c r="EU29" s="199">
        <f t="shared" si="20"/>
        <v>0</v>
      </c>
      <c r="EV29" s="199">
        <f t="shared" si="20"/>
        <v>0</v>
      </c>
      <c r="EW29" s="199">
        <f t="shared" si="20"/>
        <v>0</v>
      </c>
      <c r="EX29" s="199">
        <f t="shared" si="20"/>
        <v>0</v>
      </c>
      <c r="EY29" s="199">
        <f t="shared" si="20"/>
        <v>0</v>
      </c>
      <c r="EZ29" s="199">
        <f t="shared" si="20"/>
        <v>0</v>
      </c>
      <c r="FA29" s="199">
        <f t="shared" si="20"/>
        <v>0</v>
      </c>
      <c r="FB29" s="199">
        <f t="shared" si="20"/>
        <v>0</v>
      </c>
      <c r="FC29" s="199">
        <f t="shared" si="20"/>
        <v>0</v>
      </c>
      <c r="FD29" s="199">
        <f t="shared" si="20"/>
        <v>0</v>
      </c>
      <c r="FE29" s="199">
        <f t="shared" si="20"/>
        <v>0</v>
      </c>
      <c r="FF29" s="199">
        <f t="shared" si="20"/>
        <v>0</v>
      </c>
      <c r="FG29" s="199">
        <f t="shared" si="20"/>
        <v>0</v>
      </c>
      <c r="FH29" s="199">
        <f t="shared" si="20"/>
        <v>0</v>
      </c>
      <c r="FI29" s="199">
        <f t="shared" si="20"/>
        <v>0</v>
      </c>
      <c r="FJ29" s="199">
        <f t="shared" si="20"/>
        <v>0</v>
      </c>
      <c r="FK29" s="199">
        <f t="shared" si="20"/>
        <v>0</v>
      </c>
      <c r="FL29" s="199">
        <f t="shared" si="20"/>
        <v>0</v>
      </c>
      <c r="FM29" s="199">
        <f t="shared" si="20"/>
        <v>0</v>
      </c>
      <c r="FN29" s="199">
        <f t="shared" si="20"/>
        <v>0</v>
      </c>
      <c r="FO29" s="199">
        <f t="shared" si="20"/>
        <v>0</v>
      </c>
      <c r="FP29" s="199">
        <f t="shared" si="20"/>
        <v>0</v>
      </c>
      <c r="FQ29" s="199">
        <f t="shared" si="20"/>
        <v>0</v>
      </c>
      <c r="FR29" s="199">
        <f t="shared" si="20"/>
        <v>0</v>
      </c>
      <c r="FS29" s="199">
        <f t="shared" si="20"/>
        <v>0</v>
      </c>
      <c r="FT29" s="199">
        <f t="shared" si="20"/>
        <v>0</v>
      </c>
      <c r="FU29" s="199">
        <f t="shared" si="20"/>
        <v>0</v>
      </c>
      <c r="FV29" s="199">
        <f t="shared" si="20"/>
        <v>0</v>
      </c>
      <c r="FW29" s="199">
        <f t="shared" si="20"/>
        <v>0</v>
      </c>
      <c r="FX29" s="199">
        <f t="shared" si="20"/>
        <v>0</v>
      </c>
      <c r="FY29" s="199">
        <f t="shared" si="20"/>
        <v>0</v>
      </c>
      <c r="FZ29" s="199">
        <f t="shared" si="20"/>
        <v>0</v>
      </c>
      <c r="GA29" s="199">
        <f t="shared" si="20"/>
        <v>0</v>
      </c>
      <c r="GB29" s="194"/>
    </row>
    <row r="30" spans="1:184" ht="12.95" customHeight="1" x14ac:dyDescent="0.25">
      <c r="GB30" s="198"/>
    </row>
    <row r="31" spans="1:184" ht="12.95" hidden="1" customHeight="1" x14ac:dyDescent="0.25">
      <c r="GB31" s="200"/>
    </row>
    <row r="32" spans="1:184" ht="12.95" hidden="1" customHeight="1" x14ac:dyDescent="0.25"/>
    <row r="33" spans="2:5" ht="12.95" hidden="1" customHeight="1" x14ac:dyDescent="0.25"/>
    <row r="34" spans="2:5" ht="12.95" hidden="1" customHeight="1" x14ac:dyDescent="0.25">
      <c r="B34" s="201" t="s">
        <v>16</v>
      </c>
      <c r="C34" s="201" t="s">
        <v>26</v>
      </c>
      <c r="D34" s="201" t="s">
        <v>17</v>
      </c>
      <c r="E34" s="201" t="s">
        <v>27</v>
      </c>
    </row>
    <row r="35" spans="2:5" ht="12.95" hidden="1" customHeight="1" x14ac:dyDescent="0.25">
      <c r="B35" s="201" t="str">
        <f>"T 1: "&amp;Eing_Abnehmerart1</f>
        <v>T 1: Privé</v>
      </c>
      <c r="C35" s="201">
        <f>Eing_Arbeitspreis1</f>
        <v>0.1</v>
      </c>
      <c r="D35" s="201">
        <f>Eing_Leistungspreis1</f>
        <v>110</v>
      </c>
      <c r="E35" s="201">
        <f>Eing_Vertragslaufzeit1</f>
        <v>30</v>
      </c>
    </row>
    <row r="36" spans="2:5" ht="12.95" hidden="1" customHeight="1" x14ac:dyDescent="0.25">
      <c r="B36" s="201" t="str">
        <f>"T 2: "&amp;Eing_Abnehmerart2</f>
        <v>T 2: Industrie</v>
      </c>
      <c r="C36" s="201">
        <f>Eing_Arbeitspreis2</f>
        <v>0.1</v>
      </c>
      <c r="D36" s="201">
        <f>Eing_Leistungspreis2</f>
        <v>85</v>
      </c>
      <c r="E36" s="201">
        <f>Eing_Vertragslaufzeit2</f>
        <v>20</v>
      </c>
    </row>
    <row r="37" spans="2:5" ht="12.95" hidden="1" customHeight="1" x14ac:dyDescent="0.25">
      <c r="B37" s="201" t="str">
        <f>"T 3: "&amp;Eing_Abnehmerart3</f>
        <v>T 3: Gros consommateur</v>
      </c>
      <c r="C37" s="201">
        <f>Eing_Arbeitspreis3</f>
        <v>0.1</v>
      </c>
      <c r="D37" s="201">
        <f>Eing_Leistungspreis3</f>
        <v>75</v>
      </c>
      <c r="E37" s="201">
        <f>Eing_Vertragslaufzeit3</f>
        <v>10</v>
      </c>
    </row>
    <row r="38" spans="2:5" ht="12.95" hidden="1" customHeight="1" x14ac:dyDescent="0.25">
      <c r="B38" s="201" t="str">
        <f>"T 4: "&amp;Eing_Abnehmerart4</f>
        <v xml:space="preserve">T 4: </v>
      </c>
      <c r="C38" s="201">
        <f>Eing_Arbeitspreis4</f>
        <v>0</v>
      </c>
      <c r="D38" s="201">
        <f>Eing_Leistungspreis4</f>
        <v>0</v>
      </c>
      <c r="E38" s="201">
        <f>Eing_Vertragslaufzeit4</f>
        <v>0</v>
      </c>
    </row>
  </sheetData>
  <sheetProtection algorithmName="SHA-512" hashValue="tZFu3XUq8dg5/qSGPWcFqDtHuKZts/MFY3Dm05TyHfrwVDarx8iRoI5WhJXG+d58yd9r7NMCYxWE5PLyC6LE4A==" saltValue="MiL7O/5VX7O1PaRQvqINog==" spinCount="100000" sheet="1" objects="1" scenarios="1"/>
  <conditionalFormatting sqref="D27:GA29">
    <cfRule type="expression" dxfId="4" priority="2" stopIfTrue="1">
      <formula>OR(ISERROR(D$27),D$27=0)</formula>
    </cfRule>
  </conditionalFormatting>
  <conditionalFormatting sqref="D22:GA22">
    <cfRule type="expression" dxfId="3" priority="1">
      <formula>AND(NOT(D21=0),ISBLANK(D22))</formula>
    </cfRule>
  </conditionalFormatting>
  <dataValidations count="1">
    <dataValidation type="list" showInputMessage="1" showErrorMessage="1" sqref="D22:GA22" xr:uid="{00000000-0002-0000-0300-000000000000}">
      <formula1>$B$35:$B$38</formula1>
    </dataValidation>
  </dataValidations>
  <hyperlinks>
    <hyperlink ref="A1" location="I1_300" display="I1_300" xr:uid="{00000000-0004-0000-0300-000000000000}"/>
    <hyperlink ref="A3" location="I1_101" display="I1_101" xr:uid="{00000000-0004-0000-0300-000001000000}"/>
    <hyperlink ref="A4" location="I1_102" display="I1_102" xr:uid="{00000000-0004-0000-0300-000002000000}"/>
    <hyperlink ref="A6" location="I1_206" display="I1_206" xr:uid="{00000000-0004-0000-0300-000003000000}"/>
    <hyperlink ref="A10" location="I1_207" display="I1_207" xr:uid="{00000000-0004-0000-0300-000004000000}"/>
    <hyperlink ref="A12" location="I1_310" display="I1_310" xr:uid="{00000000-0004-0000-0300-000005000000}"/>
    <hyperlink ref="A23" location="I1_325" display="I1_325" xr:uid="{00000000-0004-0000-0300-000006000000}"/>
    <hyperlink ref="A14" location="I1_311" display="I1_311" xr:uid="{00000000-0004-0000-0300-000007000000}"/>
    <hyperlink ref="A15" location="I1_312" display="I1_312" xr:uid="{00000000-0004-0000-0300-000008000000}"/>
    <hyperlink ref="A18" location="I1_320" display="I1_320" xr:uid="{00000000-0004-0000-0300-000009000000}"/>
    <hyperlink ref="A19" location="I1_321" display="I1_321" xr:uid="{00000000-0004-0000-0300-00000A000000}"/>
    <hyperlink ref="A20" location="I1_322" display="I1_322" xr:uid="{00000000-0004-0000-0300-00000B000000}"/>
    <hyperlink ref="A21" location="I1_323" display="I1_323" xr:uid="{00000000-0004-0000-0300-00000C000000}"/>
    <hyperlink ref="A22" location="I1_324" display="I1_324" xr:uid="{00000000-0004-0000-0300-00000D000000}"/>
    <hyperlink ref="A24" location="I1_330" display="I1_330" xr:uid="{00000000-0004-0000-0300-00000E000000}"/>
    <hyperlink ref="A25" location="I1_331" display="I1_331" xr:uid="{00000000-0004-0000-0300-00000F000000}"/>
    <hyperlink ref="A26" location="I1_332" display="I1_332" xr:uid="{00000000-0004-0000-0300-000010000000}"/>
    <hyperlink ref="A27" location="I1_333" display="I1_333" xr:uid="{00000000-0004-0000-0300-000011000000}"/>
    <hyperlink ref="A28" location="I1_334" display="I1_334" xr:uid="{00000000-0004-0000-0300-000012000000}"/>
    <hyperlink ref="A29" location="I1_335" display="I1_335" xr:uid="{00000000-0004-0000-0300-000013000000}"/>
    <hyperlink ref="A5" location="I1_103" display="I1_103" xr:uid="{1684037A-2959-4F16-87C0-6FC8D4EB4BF8}"/>
  </hyperlinks>
  <pageMargins left="0.78740157480314965" right="0.6692913385826772" top="1.1417322834645669" bottom="1.3385826771653544" header="0.51181102362204722" footer="0.51181102362204722"/>
  <pageSetup paperSize="9" scale="70" fitToWidth="0" fitToHeight="0" orientation="landscape" r:id="rId1"/>
  <headerFooter alignWithMargins="0">
    <oddHeader>&amp;L&amp;G&amp;R&amp;G</oddHeader>
    <oddFooter>&amp;L&amp;"Arial,Standard"&amp;10&amp;F&amp;C&amp;"Arial,Standard"&amp;10&amp;P / &amp;N &amp;R&amp;"Arial,Standard"&amp;10&amp;D</oddFoot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pageSetUpPr fitToPage="1"/>
  </sheetPr>
  <dimension ref="A1:AJ60"/>
  <sheetViews>
    <sheetView zoomScale="70" zoomScaleNormal="70" zoomScalePageLayoutView="80" workbookViewId="0">
      <selection activeCell="K36" sqref="K36"/>
    </sheetView>
  </sheetViews>
  <sheetFormatPr baseColWidth="10" defaultColWidth="0" defaultRowHeight="12.75" zeroHeight="1" x14ac:dyDescent="0.2"/>
  <cols>
    <col min="1" max="2" width="5.7109375" style="1" customWidth="1"/>
    <col min="3" max="3" width="11.7109375" style="1" customWidth="1"/>
    <col min="4" max="4" width="8.7109375" style="1" customWidth="1"/>
    <col min="5" max="28" width="11.7109375" style="1" customWidth="1"/>
    <col min="29" max="29" width="2.7109375" style="1" customWidth="1"/>
    <col min="30" max="30" width="5.7109375" style="1" customWidth="1"/>
    <col min="31" max="33" width="11.7109375" style="1" customWidth="1"/>
    <col min="34" max="34" width="5.7109375" style="1" customWidth="1"/>
    <col min="35" max="36" width="13.140625" style="1" hidden="1" customWidth="1"/>
    <col min="37" max="16384" width="3" style="1" hidden="1"/>
  </cols>
  <sheetData>
    <row r="1" spans="1:23" ht="17.100000000000001" customHeight="1" x14ac:dyDescent="0.25">
      <c r="A1" s="3">
        <v>500</v>
      </c>
      <c r="B1" s="259" t="s">
        <v>458</v>
      </c>
      <c r="C1" s="5"/>
    </row>
    <row r="2" spans="1:23" ht="6" customHeight="1" x14ac:dyDescent="0.2"/>
    <row r="3" spans="1:23" ht="12.95" customHeight="1" x14ac:dyDescent="0.2">
      <c r="A3" s="38">
        <v>101</v>
      </c>
      <c r="D3" s="281" t="s">
        <v>260</v>
      </c>
      <c r="E3" s="281"/>
      <c r="F3" s="281"/>
      <c r="G3" s="281"/>
      <c r="H3" s="281"/>
      <c r="I3" s="281"/>
    </row>
    <row r="4" spans="1:23" ht="12.95" customHeight="1" x14ac:dyDescent="0.2">
      <c r="A4" s="38">
        <v>102</v>
      </c>
      <c r="D4" s="282" t="s">
        <v>579</v>
      </c>
      <c r="E4" s="282"/>
      <c r="F4" s="282"/>
      <c r="G4" s="282"/>
      <c r="H4" s="282"/>
      <c r="I4" s="282"/>
    </row>
    <row r="5" spans="1:23" ht="6" customHeight="1" x14ac:dyDescent="0.2"/>
    <row r="6" spans="1:23" ht="12.95" customHeight="1" x14ac:dyDescent="0.2">
      <c r="A6" s="3">
        <v>206</v>
      </c>
      <c r="B6" s="5" t="s">
        <v>247</v>
      </c>
      <c r="C6" s="5"/>
      <c r="D6" s="276" t="str">
        <f>IF('E1_Données de projet'!C7=0,"",'E1_Données de projet'!C7)</f>
        <v>QMH projet example 2</v>
      </c>
      <c r="E6" s="276"/>
      <c r="F6" s="276"/>
      <c r="G6" s="276"/>
      <c r="H6" s="276"/>
      <c r="I6" s="276"/>
      <c r="J6" s="3">
        <v>590</v>
      </c>
      <c r="K6" s="5" t="s">
        <v>475</v>
      </c>
      <c r="N6" s="67"/>
      <c r="V6" s="3">
        <v>591</v>
      </c>
      <c r="W6" s="5" t="s">
        <v>476</v>
      </c>
    </row>
    <row r="7" spans="1:23" ht="12.95" customHeight="1" x14ac:dyDescent="0.2">
      <c r="B7" s="5"/>
      <c r="C7" s="5"/>
      <c r="D7" s="276" t="str">
        <f>IF('E1_Données de projet'!C8=0,"",'E1_Données de projet'!C8)</f>
        <v>Modèle de rentabilité</v>
      </c>
      <c r="E7" s="276"/>
      <c r="F7" s="276"/>
      <c r="G7" s="276"/>
      <c r="H7" s="276"/>
      <c r="I7" s="276"/>
      <c r="J7" s="5"/>
    </row>
    <row r="8" spans="1:23" ht="12.95" customHeight="1" x14ac:dyDescent="0.2">
      <c r="B8" s="5"/>
      <c r="C8" s="5"/>
      <c r="D8" s="276" t="str">
        <f>IF('E1_Données de projet'!C9=0,"",'E1_Données de projet'!C9)</f>
        <v>CP / lieu</v>
      </c>
      <c r="E8" s="276"/>
      <c r="F8" s="276"/>
      <c r="G8" s="276"/>
      <c r="H8" s="276"/>
      <c r="I8" s="276"/>
      <c r="J8" s="5"/>
    </row>
    <row r="9" spans="1:23" ht="12.95" customHeight="1" x14ac:dyDescent="0.2">
      <c r="B9" s="5"/>
      <c r="C9" s="5"/>
      <c r="E9" s="68"/>
      <c r="F9" s="68"/>
      <c r="G9" s="68"/>
      <c r="H9" s="68"/>
      <c r="I9" s="68"/>
      <c r="J9" s="68"/>
    </row>
    <row r="10" spans="1:23" ht="12.95" customHeight="1" x14ac:dyDescent="0.2">
      <c r="A10" s="3">
        <v>207</v>
      </c>
      <c r="B10" s="69" t="s">
        <v>248</v>
      </c>
      <c r="C10" s="5"/>
      <c r="D10" s="276" t="str">
        <f>IF('E1_Données de projet'!C11=0,"",'E1_Données de projet'!C11)</f>
        <v>date, nome</v>
      </c>
      <c r="E10" s="276"/>
      <c r="F10" s="276"/>
      <c r="G10" s="276"/>
      <c r="H10" s="276"/>
      <c r="I10" s="276"/>
      <c r="J10" s="5"/>
    </row>
    <row r="11" spans="1:23" ht="12.95" customHeight="1" x14ac:dyDescent="0.2"/>
    <row r="12" spans="1:23" ht="12.95" customHeight="1" x14ac:dyDescent="0.2">
      <c r="A12" s="38">
        <v>501</v>
      </c>
      <c r="B12" s="1" t="s">
        <v>459</v>
      </c>
      <c r="D12" s="279" t="str">
        <f>IF('E1_Données de projet'!C13&lt;&gt;"","Il y a des avertissements dans le registre 'E1_Données de projet'!","")</f>
        <v>Il y a des avertissements dans le registre 'E1_Données de projet'!</v>
      </c>
      <c r="E12" s="279"/>
      <c r="F12" s="279"/>
      <c r="G12" s="279"/>
      <c r="H12" s="279"/>
      <c r="I12" s="279"/>
      <c r="J12" s="67"/>
    </row>
    <row r="13" spans="1:23" ht="12.95" customHeight="1" x14ac:dyDescent="0.2">
      <c r="G13" s="70">
        <v>505</v>
      </c>
    </row>
    <row r="14" spans="1:23" ht="12.95" customHeight="1" x14ac:dyDescent="0.2">
      <c r="A14" s="3">
        <v>510</v>
      </c>
      <c r="B14" s="5" t="s">
        <v>460</v>
      </c>
      <c r="C14" s="5"/>
      <c r="E14" s="45" t="s">
        <v>461</v>
      </c>
      <c r="F14" s="45" t="s">
        <v>473</v>
      </c>
      <c r="G14" s="1" t="s">
        <v>472</v>
      </c>
      <c r="M14" s="11"/>
      <c r="N14" s="5"/>
    </row>
    <row r="15" spans="1:23" ht="12.95" customHeight="1" x14ac:dyDescent="0.2">
      <c r="A15" s="3">
        <v>511</v>
      </c>
      <c r="B15" s="280" t="s">
        <v>462</v>
      </c>
      <c r="C15" s="280"/>
      <c r="D15" s="280"/>
      <c r="E15" s="280"/>
      <c r="F15" s="58">
        <f>SUM(F16:F23)</f>
        <v>193836.11111111112</v>
      </c>
      <c r="G15" s="71">
        <f>IF(F15=0,0,(F16*G16+F17*G17+F19*G19+F18*G18+F20*G20+F21*G21+F22*G22+F23*G23)/(SUM(F16:F23)))</f>
        <v>0.01</v>
      </c>
      <c r="I15" s="5"/>
      <c r="J15" s="50"/>
      <c r="K15" s="50"/>
      <c r="L15" s="50"/>
      <c r="R15" s="7"/>
      <c r="S15" s="72"/>
      <c r="T15" s="50"/>
    </row>
    <row r="16" spans="1:23" ht="12.95" customHeight="1" x14ac:dyDescent="0.2">
      <c r="A16" s="3">
        <v>512</v>
      </c>
      <c r="C16" s="278" t="s">
        <v>463</v>
      </c>
      <c r="D16" s="278"/>
      <c r="E16" s="278"/>
      <c r="F16" s="7">
        <f>Eing_Rohstoffpreis_Biomasse*Eingesetzte_Brennstoffwärme_Biomasse</f>
        <v>97136.111111111124</v>
      </c>
      <c r="G16" s="263">
        <f t="shared" ref="G16:G23" si="0">Eing_allg_Teuerung/100</f>
        <v>0.01</v>
      </c>
      <c r="J16" s="50"/>
      <c r="K16" s="50"/>
      <c r="L16" s="50"/>
    </row>
    <row r="17" spans="1:30" ht="12.95" customHeight="1" x14ac:dyDescent="0.2">
      <c r="A17" s="3">
        <v>513</v>
      </c>
      <c r="C17" s="278" t="s">
        <v>464</v>
      </c>
      <c r="D17" s="278"/>
      <c r="E17" s="278"/>
      <c r="F17" s="7">
        <f>Eingesetzte_Brennstoffwärme_fossil*Eing_Rohstoffpreis_fossil</f>
        <v>31166.666666666668</v>
      </c>
      <c r="G17" s="263">
        <f t="shared" si="0"/>
        <v>0.01</v>
      </c>
      <c r="J17" s="50"/>
      <c r="K17" s="50"/>
      <c r="L17" s="50"/>
    </row>
    <row r="18" spans="1:30" ht="12.95" customHeight="1" x14ac:dyDescent="0.2">
      <c r="A18" s="3">
        <v>514</v>
      </c>
      <c r="C18" s="278" t="s">
        <v>465</v>
      </c>
      <c r="D18" s="278"/>
      <c r="E18" s="278"/>
      <c r="F18" s="7">
        <f>järhliche_Stromkosten</f>
        <v>6233.333333333333</v>
      </c>
      <c r="G18" s="263">
        <f t="shared" si="0"/>
        <v>0.01</v>
      </c>
      <c r="J18" s="50"/>
      <c r="K18" s="50"/>
      <c r="L18" s="50"/>
      <c r="R18" s="7"/>
      <c r="S18" s="7"/>
      <c r="T18" s="73"/>
      <c r="U18" s="50"/>
      <c r="V18" s="50"/>
      <c r="W18" s="50"/>
      <c r="X18" s="50"/>
      <c r="Y18" s="50"/>
      <c r="Z18" s="50"/>
      <c r="AD18" s="7"/>
    </row>
    <row r="19" spans="1:30" ht="12.95" customHeight="1" x14ac:dyDescent="0.2">
      <c r="A19" s="3">
        <v>515</v>
      </c>
      <c r="C19" s="278" t="s">
        <v>460</v>
      </c>
      <c r="D19" s="278"/>
      <c r="E19" s="278"/>
      <c r="F19" s="7">
        <f>Eing_Betriebskosten</f>
        <v>6000</v>
      </c>
      <c r="G19" s="263">
        <f t="shared" si="0"/>
        <v>0.01</v>
      </c>
      <c r="J19" s="50"/>
      <c r="K19" s="50"/>
      <c r="L19" s="50"/>
      <c r="M19" s="74"/>
      <c r="N19" s="5"/>
    </row>
    <row r="20" spans="1:30" ht="12.95" customHeight="1" x14ac:dyDescent="0.2">
      <c r="A20" s="3">
        <v>516</v>
      </c>
      <c r="C20" s="278" t="s">
        <v>19</v>
      </c>
      <c r="D20" s="278"/>
      <c r="E20" s="278"/>
      <c r="F20" s="7">
        <f>Eing_Administration</f>
        <v>12000</v>
      </c>
      <c r="G20" s="263">
        <f>Eing_allg_Teuerung/100</f>
        <v>0.01</v>
      </c>
      <c r="J20" s="50"/>
      <c r="K20" s="50"/>
      <c r="L20" s="50"/>
      <c r="M20" s="75"/>
      <c r="R20" s="76"/>
      <c r="S20" s="76"/>
      <c r="T20" s="77"/>
      <c r="U20" s="78"/>
      <c r="V20" s="78"/>
      <c r="W20" s="78"/>
      <c r="X20" s="78"/>
      <c r="Y20" s="78"/>
      <c r="Z20" s="78"/>
    </row>
    <row r="21" spans="1:30" ht="12.95" customHeight="1" x14ac:dyDescent="0.2">
      <c r="A21" s="3">
        <v>517</v>
      </c>
      <c r="C21" s="278" t="s">
        <v>277</v>
      </c>
      <c r="D21" s="278"/>
      <c r="E21" s="278"/>
      <c r="F21" s="7">
        <f>Eing_Unterhaltskosten</f>
        <v>23900</v>
      </c>
      <c r="G21" s="263">
        <f t="shared" si="0"/>
        <v>0.01</v>
      </c>
      <c r="J21" s="50"/>
      <c r="K21" s="50"/>
      <c r="L21" s="50"/>
      <c r="R21" s="76"/>
      <c r="S21" s="76"/>
      <c r="U21" s="78"/>
      <c r="V21" s="78"/>
      <c r="W21" s="78"/>
      <c r="X21" s="78"/>
      <c r="Y21" s="78"/>
      <c r="Z21" s="78"/>
    </row>
    <row r="22" spans="1:30" ht="12.95" customHeight="1" x14ac:dyDescent="0.2">
      <c r="A22" s="3">
        <v>518</v>
      </c>
      <c r="C22" s="278" t="s">
        <v>466</v>
      </c>
      <c r="D22" s="278"/>
      <c r="E22" s="278"/>
      <c r="F22" s="7">
        <f>Eing_Kosten_Grundstück</f>
        <v>1000</v>
      </c>
      <c r="G22" s="263">
        <f t="shared" si="0"/>
        <v>0.01</v>
      </c>
      <c r="J22" s="50"/>
      <c r="K22" s="50"/>
      <c r="L22" s="50"/>
      <c r="R22" s="76"/>
      <c r="S22" s="76"/>
      <c r="T22" s="77"/>
      <c r="U22" s="78"/>
      <c r="V22" s="78"/>
      <c r="W22" s="78"/>
      <c r="X22" s="78"/>
      <c r="Y22" s="78"/>
      <c r="Z22" s="78"/>
      <c r="AA22" s="7"/>
      <c r="AB22" s="7"/>
      <c r="AC22" s="7"/>
    </row>
    <row r="23" spans="1:30" ht="12.95" customHeight="1" x14ac:dyDescent="0.2">
      <c r="A23" s="3">
        <v>519</v>
      </c>
      <c r="C23" s="278" t="s">
        <v>467</v>
      </c>
      <c r="D23" s="278"/>
      <c r="E23" s="278"/>
      <c r="F23" s="7">
        <f>Eing_Sonstige_Kosten</f>
        <v>16400</v>
      </c>
      <c r="G23" s="263">
        <f t="shared" si="0"/>
        <v>0.01</v>
      </c>
      <c r="J23" s="50"/>
      <c r="K23" s="50"/>
      <c r="L23" s="50"/>
      <c r="R23" s="76"/>
      <c r="S23" s="76"/>
      <c r="T23" s="78"/>
      <c r="U23" s="78"/>
      <c r="V23" s="78"/>
      <c r="W23" s="78"/>
      <c r="X23" s="78"/>
      <c r="Y23" s="78"/>
      <c r="Z23" s="78"/>
    </row>
    <row r="24" spans="1:30" ht="12.95" customHeight="1" x14ac:dyDescent="0.2">
      <c r="A24" s="3">
        <v>520</v>
      </c>
      <c r="B24" s="5" t="s">
        <v>468</v>
      </c>
      <c r="F24" s="7"/>
      <c r="G24" s="263">
        <f>G15</f>
        <v>0.01</v>
      </c>
      <c r="I24" s="79"/>
      <c r="J24" s="50"/>
      <c r="K24" s="50"/>
      <c r="L24" s="50"/>
    </row>
    <row r="25" spans="1:30" ht="12.95" customHeight="1" x14ac:dyDescent="0.2">
      <c r="A25" s="5"/>
      <c r="B25" s="5"/>
      <c r="F25" s="7"/>
      <c r="G25" s="72"/>
      <c r="J25" s="50"/>
      <c r="K25" s="50"/>
      <c r="L25" s="50"/>
    </row>
    <row r="26" spans="1:30" ht="12.95" customHeight="1" x14ac:dyDescent="0.2">
      <c r="A26" s="3">
        <v>530</v>
      </c>
      <c r="B26" s="5" t="s">
        <v>469</v>
      </c>
      <c r="E26" s="45" t="s">
        <v>470</v>
      </c>
      <c r="F26" s="1">
        <f>Eing_Beginnjahr</f>
        <v>2022</v>
      </c>
      <c r="I26" s="77"/>
      <c r="T26" s="77"/>
    </row>
    <row r="27" spans="1:30" ht="12.95" customHeight="1" x14ac:dyDescent="0.2">
      <c r="A27" s="3">
        <v>190</v>
      </c>
      <c r="C27" s="278" t="s">
        <v>317</v>
      </c>
      <c r="D27" s="278"/>
      <c r="E27" s="278"/>
      <c r="F27" s="7">
        <f>Gesamtinvestition</f>
        <v>1635000</v>
      </c>
      <c r="G27" s="1" t="s">
        <v>9</v>
      </c>
      <c r="I27" s="77"/>
      <c r="T27" s="77"/>
    </row>
    <row r="28" spans="1:30" ht="12.95" customHeight="1" x14ac:dyDescent="0.2">
      <c r="A28" s="3">
        <v>191</v>
      </c>
      <c r="C28" s="278" t="s">
        <v>578</v>
      </c>
      <c r="D28" s="278"/>
      <c r="E28" s="278"/>
      <c r="F28" s="7">
        <f>'E1_Données de projet'!D95</f>
        <v>359000</v>
      </c>
      <c r="G28" s="1" t="s">
        <v>9</v>
      </c>
      <c r="H28" s="45"/>
      <c r="I28" s="80"/>
    </row>
    <row r="29" spans="1:30" ht="12.95" customHeight="1" x14ac:dyDescent="0.2">
      <c r="A29" s="3">
        <v>531</v>
      </c>
      <c r="C29" s="278" t="s">
        <v>471</v>
      </c>
      <c r="D29" s="278"/>
      <c r="E29" s="278"/>
      <c r="F29" s="7">
        <f>-MIN(AB36:AB60)</f>
        <v>684972.44168055546</v>
      </c>
      <c r="G29" s="81" t="s">
        <v>9</v>
      </c>
      <c r="H29" s="45" t="s">
        <v>474</v>
      </c>
      <c r="I29" s="82">
        <f>VLOOKUP(-maxEigenkapital,AB36:AH60,7,0)</f>
        <v>2024</v>
      </c>
      <c r="J29" s="82"/>
      <c r="K29" s="83"/>
      <c r="L29" s="83"/>
    </row>
    <row r="30" spans="1:30" ht="12.95" customHeight="1" x14ac:dyDescent="0.2">
      <c r="A30" s="11"/>
      <c r="C30" s="45"/>
      <c r="D30" s="45"/>
      <c r="E30" s="45"/>
      <c r="F30" s="7"/>
      <c r="G30" s="45"/>
      <c r="H30" s="45"/>
      <c r="I30" s="82"/>
      <c r="J30" s="82"/>
      <c r="K30" s="83"/>
      <c r="L30" s="83"/>
    </row>
    <row r="31" spans="1:30" ht="12.95" customHeight="1" x14ac:dyDescent="0.2">
      <c r="A31" s="3">
        <v>550</v>
      </c>
      <c r="E31" s="84" t="s">
        <v>477</v>
      </c>
      <c r="P31" s="84" t="s">
        <v>478</v>
      </c>
      <c r="V31" s="84" t="s">
        <v>479</v>
      </c>
      <c r="X31" s="84" t="s">
        <v>480</v>
      </c>
      <c r="Y31" s="5"/>
      <c r="Z31" s="5"/>
      <c r="AA31" s="84" t="s">
        <v>481</v>
      </c>
      <c r="AD31" s="85"/>
    </row>
    <row r="32" spans="1:30" ht="6.75" customHeight="1" x14ac:dyDescent="0.2">
      <c r="E32" s="86"/>
      <c r="N32" s="5"/>
      <c r="P32" s="87"/>
      <c r="V32" s="87"/>
      <c r="X32" s="87"/>
      <c r="AA32" s="87"/>
      <c r="AD32" s="87"/>
    </row>
    <row r="33" spans="1:36" ht="70.5" customHeight="1" x14ac:dyDescent="0.2">
      <c r="A33" s="11"/>
      <c r="B33" s="88" t="s">
        <v>426</v>
      </c>
      <c r="C33" s="89" t="s">
        <v>482</v>
      </c>
      <c r="D33" s="90" t="s">
        <v>483</v>
      </c>
      <c r="E33" s="91" t="s">
        <v>463</v>
      </c>
      <c r="F33" s="92" t="s">
        <v>464</v>
      </c>
      <c r="G33" s="93" t="s">
        <v>465</v>
      </c>
      <c r="H33" s="92" t="s">
        <v>484</v>
      </c>
      <c r="I33" s="92" t="s">
        <v>485</v>
      </c>
      <c r="J33" s="92" t="s">
        <v>486</v>
      </c>
      <c r="K33" s="260" t="s">
        <v>487</v>
      </c>
      <c r="L33" s="92" t="s">
        <v>488</v>
      </c>
      <c r="M33" s="89" t="s">
        <v>489</v>
      </c>
      <c r="N33" s="92" t="s">
        <v>490</v>
      </c>
      <c r="O33" s="94" t="s">
        <v>491</v>
      </c>
      <c r="P33" s="91" t="s">
        <v>492</v>
      </c>
      <c r="Q33" s="92" t="s">
        <v>493</v>
      </c>
      <c r="R33" s="260" t="s">
        <v>256</v>
      </c>
      <c r="S33" s="260" t="s">
        <v>494</v>
      </c>
      <c r="T33" s="95" t="s">
        <v>495</v>
      </c>
      <c r="U33" s="94" t="s">
        <v>496</v>
      </c>
      <c r="V33" s="96" t="s">
        <v>497</v>
      </c>
      <c r="W33" s="94" t="s">
        <v>498</v>
      </c>
      <c r="X33" s="92" t="s">
        <v>499</v>
      </c>
      <c r="Y33" s="97" t="s">
        <v>500</v>
      </c>
      <c r="Z33" s="89" t="s">
        <v>424</v>
      </c>
      <c r="AA33" s="91" t="s">
        <v>481</v>
      </c>
      <c r="AB33" s="90" t="s">
        <v>186</v>
      </c>
      <c r="AC33" s="89"/>
      <c r="AD33" s="91" t="s">
        <v>501</v>
      </c>
      <c r="AE33" s="92" t="s">
        <v>502</v>
      </c>
      <c r="AF33" s="90" t="s">
        <v>503</v>
      </c>
      <c r="AG33" s="90" t="s">
        <v>504</v>
      </c>
      <c r="AH33" s="98" t="s">
        <v>426</v>
      </c>
    </row>
    <row r="34" spans="1:36" s="99" customFormat="1" ht="12.95" customHeight="1" x14ac:dyDescent="0.25">
      <c r="B34" s="100">
        <v>551</v>
      </c>
      <c r="C34" s="101">
        <v>552</v>
      </c>
      <c r="D34" s="102">
        <v>553</v>
      </c>
      <c r="E34" s="103">
        <v>554</v>
      </c>
      <c r="F34" s="104">
        <v>555</v>
      </c>
      <c r="G34" s="105">
        <v>556</v>
      </c>
      <c r="H34" s="104">
        <v>557</v>
      </c>
      <c r="I34" s="104">
        <v>558</v>
      </c>
      <c r="J34" s="105">
        <v>559</v>
      </c>
      <c r="K34" s="105">
        <v>560</v>
      </c>
      <c r="L34" s="105">
        <v>561</v>
      </c>
      <c r="M34" s="106">
        <v>562</v>
      </c>
      <c r="N34" s="107">
        <v>563</v>
      </c>
      <c r="O34" s="108">
        <v>564</v>
      </c>
      <c r="P34" s="100">
        <v>571</v>
      </c>
      <c r="Q34" s="104">
        <v>572</v>
      </c>
      <c r="R34" s="106">
        <v>573</v>
      </c>
      <c r="S34" s="104">
        <v>574</v>
      </c>
      <c r="T34" s="109">
        <v>575</v>
      </c>
      <c r="U34" s="108">
        <v>576</v>
      </c>
      <c r="V34" s="110">
        <v>577</v>
      </c>
      <c r="W34" s="111">
        <v>578</v>
      </c>
      <c r="X34" s="105">
        <v>580</v>
      </c>
      <c r="Y34" s="112">
        <v>581</v>
      </c>
      <c r="Z34" s="113">
        <v>582</v>
      </c>
      <c r="AA34" s="114">
        <v>583</v>
      </c>
      <c r="AB34" s="115">
        <v>584</v>
      </c>
      <c r="AC34" s="116"/>
      <c r="AD34" s="117">
        <v>586</v>
      </c>
      <c r="AE34" s="118">
        <v>587</v>
      </c>
      <c r="AF34" s="119">
        <v>588</v>
      </c>
      <c r="AG34" s="119">
        <v>589</v>
      </c>
      <c r="AH34" s="120">
        <v>551</v>
      </c>
    </row>
    <row r="35" spans="1:36" ht="12.95" customHeight="1" x14ac:dyDescent="0.2">
      <c r="B35" s="121" t="s">
        <v>505</v>
      </c>
      <c r="C35" s="122" t="s">
        <v>417</v>
      </c>
      <c r="D35" s="123" t="s">
        <v>1</v>
      </c>
      <c r="E35" s="121" t="s">
        <v>421</v>
      </c>
      <c r="F35" s="124" t="s">
        <v>421</v>
      </c>
      <c r="G35" s="125" t="s">
        <v>421</v>
      </c>
      <c r="H35" s="125" t="s">
        <v>421</v>
      </c>
      <c r="I35" s="125" t="s">
        <v>421</v>
      </c>
      <c r="J35" s="125" t="s">
        <v>421</v>
      </c>
      <c r="K35" s="125" t="s">
        <v>421</v>
      </c>
      <c r="L35" s="125" t="s">
        <v>421</v>
      </c>
      <c r="M35" s="125" t="s">
        <v>421</v>
      </c>
      <c r="N35" s="125" t="s">
        <v>421</v>
      </c>
      <c r="O35" s="126" t="s">
        <v>421</v>
      </c>
      <c r="P35" s="121" t="s">
        <v>421</v>
      </c>
      <c r="Q35" s="125" t="s">
        <v>421</v>
      </c>
      <c r="R35" s="125" t="s">
        <v>421</v>
      </c>
      <c r="S35" s="125" t="s">
        <v>421</v>
      </c>
      <c r="T35" s="127" t="s">
        <v>421</v>
      </c>
      <c r="U35" s="126" t="s">
        <v>421</v>
      </c>
      <c r="V35" s="128" t="s">
        <v>421</v>
      </c>
      <c r="W35" s="126" t="s">
        <v>421</v>
      </c>
      <c r="X35" s="125" t="s">
        <v>421</v>
      </c>
      <c r="Y35" s="129"/>
      <c r="Z35" s="122"/>
      <c r="AA35" s="121" t="s">
        <v>421</v>
      </c>
      <c r="AB35" s="123" t="s">
        <v>9</v>
      </c>
      <c r="AC35" s="130"/>
      <c r="AD35" s="131"/>
      <c r="AE35" s="125" t="s">
        <v>9</v>
      </c>
      <c r="AF35" s="123" t="s">
        <v>9</v>
      </c>
      <c r="AG35" s="123" t="s">
        <v>1</v>
      </c>
      <c r="AH35" s="132" t="s">
        <v>505</v>
      </c>
    </row>
    <row r="36" spans="1:36" ht="12.95" customHeight="1" x14ac:dyDescent="0.2">
      <c r="B36" s="133">
        <f>Eing_Beginnjahr</f>
        <v>2022</v>
      </c>
      <c r="C36" s="134">
        <f>(SUMPRODUCT((E3_Consommateurs!$D$21:$XFD$21&lt;B1_Calculs!B36)*E3_Consommateurs!$D$18:$XFD$18)+SUMPRODUCT((E3_Consommateurs!$D$21:$XFD$21=B1_Calculs!B36)*E3_Consommateurs!$D$18:$XFD$18*E3_Consommateurs!$D$20:$XFD$20))/(100-Eing_Netzverluste)*100*(1-'E1_Données de projet'!$D$19/100)^(B1_Calculs!B36-'E1_Données de projet'!$D$22)</f>
        <v>0</v>
      </c>
      <c r="D36" s="135">
        <f t="shared" ref="D36:D60" si="1">IF(Erzeugte_Wärmemenge=0,0,C36/Erzeugte_Wärmemenge*100)</f>
        <v>0</v>
      </c>
      <c r="E36" s="136">
        <f t="shared" ref="E36:E60" si="2">Eingesetzte_Brennstoffwärme_Biomasse*D36/100*Eing_Rohstoffpreis_Biomasse*((1+$G$16)^(B36-$B$36))</f>
        <v>0</v>
      </c>
      <c r="F36" s="137">
        <f t="shared" ref="F36:F60" si="3">Eingesetzte_Brennstoffwärme_fossil*Eing_Rohstoffpreis_fossil*D36/100*(1+$G$17)^(B36-$B$36)</f>
        <v>0</v>
      </c>
      <c r="G36" s="137">
        <f t="shared" ref="G36:G60" si="4">Eing_Spez_Stromverbrauch*10*C36*Eing_Strompreis*(1+$G$18)^(B36-B$36)</f>
        <v>0</v>
      </c>
      <c r="H36" s="137">
        <f>($F$19*(1+$G$19)^(B36-B$36)+$F$20*(1+$G$20)^(B36-B$36))*(B36&gt;='E1_Données de projet'!$D$22)*VLOOKUP(B36,'E1_Données de projet'!$D$58:$I$60,6)/100</f>
        <v>0</v>
      </c>
      <c r="I36" s="137">
        <f>$F$21*(1+$G$21)^(B36-B$36)*(B36&gt;='E1_Données de projet'!$D$22)*VLOOKUP(B36,'E1_Données de projet'!$D$58:$I$60,6)/100</f>
        <v>0</v>
      </c>
      <c r="J36" s="137">
        <f>Eing_Kosten_Grundstück+Eing_Sonstige_Kosten</f>
        <v>17400</v>
      </c>
      <c r="K36" s="138"/>
      <c r="L36" s="139"/>
      <c r="M36" s="134">
        <f t="shared" ref="M36:M60" si="5">-IF(Eing_Kreditlaufzeit_1=0,(B36&gt;=Eing_Kreditstartjahr_1)*-Eing_Kredit_1,(-Eing_Kredit_1+(Eing_Kredit_1/Eing_Kreditlaufzeit_1)*(B36-Eing_Kreditstartjahr_1))*(Eing_Kreditlaufzeit_1&gt;B36-Eing_Kreditstartjahr_1)*(B36&gt;=Eing_Kreditstartjahr_1))*Eing_Kreditzinssatz_1/100-IF(Eing_Kreditlaufzeit_2=0,(B36&gt;=Eing_Kreditstartjahr_2)*-Eing_Kredit_2,(-Eing_Kredit_2+(Eing_Kredit_2/Eing_Kreditlaufzeit_2)*(B36-Eing_Kreditstartjahr_2))*(Eing_Kreditlaufzeit_2&gt;B36-Eing_Kreditstartjahr_2)*(B36&gt;=Eing_Kreditstartjahr_2))*Eing_Kreditzinssatz_2/100</f>
        <v>25000</v>
      </c>
      <c r="N36" s="137">
        <f>+('E1_Données de projet'!$D$48*(1+Eing_allg_Teuerung/100)^('E1_Données de projet'!$I$48*ROUNDDOWN((AD36-1)/'E1_Données de projet'!$I$48,0))/'E1_Données de projet'!$I$48
+'E1_Données de projet'!$D$49*(1+Eing_allg_Teuerung/100)^('E1_Données de projet'!$I$49*ROUNDDOWN((AD36-1)/'E1_Données de projet'!$I$49,0))/'E1_Données de projet'!$I$49
+'E1_Données de projet'!$D$50*(1+Eing_allg_Teuerung/100)^('E1_Données de projet'!$I$50*ROUNDDOWN((AD36-1)/'E1_Données de projet'!$I$50,0))/'E1_Données de projet'!$I$50
+'E1_Données de projet'!$D$51*(1+Eing_allg_Teuerung/100)^('E1_Données de projet'!$I$51*ROUNDDOWN((AD36-1)/'E1_Données de projet'!$I$51,0))/'E1_Données de projet'!$I$51
+'E1_Données de projet'!$D$52*(1+Eing_allg_Teuerung/100)^('E1_Données de projet'!$I$52*ROUNDDOWN((AD36-1)/'E1_Données de projet'!$I$52,0))/'E1_Données de projet'!$I$52
+'E1_Données de projet'!$D$53*(1+Eing_allg_Teuerung/100)^('E1_Données de projet'!$I$53*ROUNDDOWN((AD36-1)/'E1_Données de projet'!$I$53,0))/'E1_Données de projet'!$I$53
)*((AD36)&gt;0)*VLOOKUP(B36,'E1_Données de projet'!$D$58:$I$60,6
)/100</f>
        <v>0</v>
      </c>
      <c r="O36" s="140">
        <f>IF(L36,SUM(L36:N36),SUM(E36:N36))</f>
        <v>42400</v>
      </c>
      <c r="P36" s="136">
        <f>SUM((SUMPRODUCT((E3_Consommateurs!$D$21:$XFD$21&lt;B1_Calculs!B36)*E3_Consommateurs!$D$25:$XFD$25)+SUMPRODUCT((E3_Consommateurs!$D$21:$XFD$21=B1_Calculs!B36)*E3_Consommateurs!$D$25:$XFD$25*E3_Consommateurs!$D$20:$XFD$20))*(1+$G$24)^(B36-B$36),(SUMPRODUCT((E3_Consommateurs!$D$21:$XFD$21&lt;B1_Calculs!B36)*E3_Consommateurs!$D$26:$XFD$26)+SUMPRODUCT((E3_Consommateurs!$D$21:$XFD$21=B1_Calculs!B36)*E3_Consommateurs!$D$26:$XFD$26*E3_Consommateurs!$D$20:$XFD$20))*((1+$G$24)*(1-'E1_Données de projet'!$D$19/100))^(B36-B$36))</f>
        <v>0</v>
      </c>
      <c r="Q36" s="137">
        <f>SUMPRODUCT((E3_Consommateurs!$D$21:$XFD$21&lt;=B1_Calculs!B36)*E3_Consommateurs!$D$23:$XFD$23)</f>
        <v>0</v>
      </c>
      <c r="R36" s="261">
        <f>SUM(jährlicher_Förderbeitrag*(B36-Erstauszahlung_jährlFörderung&lt;=Eing_Förderung_wiederholend_Laufzeit-1)*(B36&gt;='E1_Données de projet'!$D$83),'E1_Données de projet'!$D$76*(B36='E1_Données de projet'!$D$77),'E1_Données de projet'!$D$78*(B36='E1_Données de projet'!$D$79))</f>
        <v>0</v>
      </c>
      <c r="S36" s="138"/>
      <c r="T36" s="141"/>
      <c r="U36" s="140">
        <f>IF(T36,T36,SUM(P36:S36))</f>
        <v>0</v>
      </c>
      <c r="V36" s="142">
        <f>U36-O36</f>
        <v>-42400</v>
      </c>
      <c r="W36" s="140">
        <f>V36</f>
        <v>-42400</v>
      </c>
      <c r="X36" s="137">
        <f>'E1_Données de projet'!$D$48*(AD36-1='E1_Données de projet'!$I$48)*(1+Eing_allg_Teuerung/100)^'E1_Données de projet'!$I$48
+'E1_Données de projet'!$D$49*(AD36-1='E1_Données de projet'!$I$49)*(1+Eing_allg_Teuerung/100)^'E1_Données de projet'!$I$49
+'E1_Données de projet'!$D$50*(AD36-1='E1_Données de projet'!$I$50)*(1+Eing_allg_Teuerung/100)^'E1_Données de projet'!$I$50
+'E1_Données de projet'!$D$51*(AD36-1='E1_Données de projet'!$I$51)*(1+Eing_allg_Teuerung/100)^'E1_Données de projet'!$I$51
+'E1_Données de projet'!$D$52*(AD36-1='E1_Données de projet'!$I$52)*(1+Eing_allg_Teuerung/100)^'E1_Données de projet'!$I$52
+'E1_Données de projet'!$D$53*(AD36-1='E1_Données de projet'!$I$53)*(1+Eing_allg_Teuerung/100)^'E1_Données de projet'!$I$53
+Gesamtinvestition*SUMPRODUCT(('E1_Données de projet'!$D$58:$D$60=B36)*'E1_Données de projet'!$F$58:$F$60)/100</f>
        <v>327000</v>
      </c>
      <c r="Y36" s="143">
        <f t="shared" ref="Y36:Y60" si="6">Eing_Kredit_1*(B36=Eing_Kreditstartjahr_1)+Eing_Kredit_2*(B36=Eing_Kreditstartjahr_2)</f>
        <v>1000000</v>
      </c>
      <c r="Z36" s="134">
        <f t="shared" ref="Z36:Z60" si="7">IF(Eing_Kreditlaufzeit_1&lt;&gt;0,(Eing_Kredit_1/Eing_Kreditlaufzeit_1)*(Eing_Kreditlaufzeit_1&gt;B36-1-Eing_Kreditstartjahr_1)*(B36&gt;Eing_Kreditstartjahr_1))
+IF(Eing_Kreditlaufzeit_2&lt;&gt;0,(Eing_Kredit_2/Eing_Kreditlaufzeit_2)*(Eing_Kreditlaufzeit_2&gt;B36-1-Eing_Kreditstartjahr_2)*(B36&gt;Eing_Kreditstartjahr_2))</f>
        <v>0</v>
      </c>
      <c r="AA36" s="136">
        <f>U36-(O36-N36)-X36-Z36+Y36</f>
        <v>630600</v>
      </c>
      <c r="AB36" s="144">
        <f>AA36</f>
        <v>630600</v>
      </c>
      <c r="AC36" s="145"/>
      <c r="AD36" s="146">
        <f>MAX(B1_Calculs!B36+1-'E1_Données de projet'!$D$22,0)</f>
        <v>0</v>
      </c>
      <c r="AE36" s="147">
        <f t="shared" ref="AE36:AE60" si="8">IF(Eing_Kreditlaufzeit_1=0,(B36&gt;=Eing_Kreditstartjahr_1)*-Eing_Kredit_1,(-Eing_Kredit_1+(Eing_Kredit_1/Eing_Kreditlaufzeit_1)*(B36-Eing_Kreditstartjahr_1))*(Eing_Kreditlaufzeit_1&gt;B36-Eing_Kreditstartjahr_1)*(B36&gt;=Eing_Kreditstartjahr_1))+IF(Eing_Kreditlaufzeit_2=0,(B36&gt;=Eing_Kreditstartjahr_2)*-Eing_Kredit_2,(-Eing_Kredit_2+(Eing_Kredit_2/Eing_Kreditlaufzeit_2)*(B36-Eing_Kreditstartjahr_2))*(Eing_Kreditlaufzeit_2&gt;B36-Eing_Kreditstartjahr_2)*(B36&gt;=Eing_Kreditstartjahr_2))</f>
        <v>-1000000</v>
      </c>
      <c r="AF36" s="148">
        <f>'E1_Données de projet'!$D$48*(AD36-1='E1_Données de projet'!$I$48)*(1+Eing_allg_Teuerung/100)^'E1_Données de projet'!$I$48
+'E1_Données de projet'!$D$49*(AD36-1='E1_Données de projet'!$I$49)*(1+Eing_allg_Teuerung/100)^'E1_Données de projet'!$I$49
+'E1_Données de projet'!$D$50*(AD36-1='E1_Données de projet'!$I$50)*(1+Eing_allg_Teuerung/100)^'E1_Données de projet'!$I$50
+'E1_Données de projet'!$D$51*(AD36-1='E1_Données de projet'!$I$51)*(1+Eing_allg_Teuerung/100)^'E1_Données de projet'!$I$51
+'E1_Données de projet'!$D$52*(AD36-1='E1_Données de projet'!$I$52)*(1+Eing_allg_Teuerung/100)^'E1_Données de projet'!$I$52
+'E1_Données de projet'!$D$53*(AD36-1='E1_Données de projet'!$I$53)*(1+Eing_allg_Teuerung/100)^'E1_Données de projet'!$I$53
+(Gesamtinvestition-SUM('E1_Données de projet'!$D$54:$D$55))*SUMPRODUCT(('E1_Données de projet'!$D$58:$D$60=B36)*'E1_Données de projet'!$F$58:$F$60)/100-N36</f>
        <v>284000</v>
      </c>
      <c r="AG36" s="149" t="str">
        <f>IF(ISNUMBER(IRR(AI36)),IRR(AI36),"-")</f>
        <v>-</v>
      </c>
      <c r="AH36" s="150">
        <f t="shared" ref="AH36:AH60" si="9">B36</f>
        <v>2022</v>
      </c>
      <c r="AI36" s="151">
        <f>SUM(-$X36,$V36,$N36,AF36)</f>
        <v>-85400</v>
      </c>
      <c r="AJ36" s="151">
        <f>SUM(-$X36,$V36,$N36)</f>
        <v>-369400</v>
      </c>
    </row>
    <row r="37" spans="1:36" ht="12.95" customHeight="1" x14ac:dyDescent="0.2">
      <c r="B37" s="133">
        <f>B36+1</f>
        <v>2023</v>
      </c>
      <c r="C37" s="134">
        <f>(SUMPRODUCT((E3_Consommateurs!$D$21:$XFD$21&lt;B1_Calculs!B37)*E3_Consommateurs!$D$18:$XFD$18)+SUMPRODUCT((E3_Consommateurs!$D$21:$XFD$21=B1_Calculs!B37)*E3_Consommateurs!$D$18:$XFD$18*E3_Consommateurs!$D$20:$XFD$20))/(100-Eing_Netzverluste)*100*(1-'E1_Données de projet'!$D$19/100)^(B1_Calculs!B37-'E1_Données de projet'!$D$22)</f>
        <v>0</v>
      </c>
      <c r="D37" s="135">
        <f t="shared" si="1"/>
        <v>0</v>
      </c>
      <c r="E37" s="136">
        <f t="shared" si="2"/>
        <v>0</v>
      </c>
      <c r="F37" s="137">
        <f t="shared" si="3"/>
        <v>0</v>
      </c>
      <c r="G37" s="137">
        <f t="shared" si="4"/>
        <v>0</v>
      </c>
      <c r="H37" s="137">
        <f>($F$19*(1+$G$19)^(B37-B$36)+$F$20*(1+$G$20)^(B37-B$36))*(B37&gt;='E1_Données de projet'!$D$22)*VLOOKUP(B37,'E1_Données de projet'!$D$58:$I$60,6)/100</f>
        <v>0</v>
      </c>
      <c r="I37" s="137">
        <f>$F$21*(1+$G$21)^(B37-B$36)*(B37&gt;='E1_Données de projet'!$D$22)*VLOOKUP(B37,'E1_Données de projet'!$D$58:$I$60,6)/100</f>
        <v>0</v>
      </c>
      <c r="J37" s="137">
        <f t="shared" ref="J37:J60" si="10">$F$22*(1+$G$22)^(B37-B$36)+$F$23*(1+$G$23)^(B37-B$36)</f>
        <v>17574</v>
      </c>
      <c r="K37" s="138"/>
      <c r="L37" s="139"/>
      <c r="M37" s="134">
        <f t="shared" si="5"/>
        <v>23333.333333333336</v>
      </c>
      <c r="N37" s="137">
        <f>+('E1_Données de projet'!$D$48*(1+Eing_allg_Teuerung/100)^('E1_Données de projet'!$I$48*ROUNDDOWN((AD37-1)/'E1_Données de projet'!$I$48,0))/'E1_Données de projet'!$I$48
+'E1_Données de projet'!$D$49*(1+Eing_allg_Teuerung/100)^('E1_Données de projet'!$I$49*ROUNDDOWN((AD37-1)/'E1_Données de projet'!$I$49,0))/'E1_Données de projet'!$I$49
+'E1_Données de projet'!$D$50*(1+Eing_allg_Teuerung/100)^('E1_Données de projet'!$I$50*ROUNDDOWN((AD37-1)/'E1_Données de projet'!$I$50,0))/'E1_Données de projet'!$I$50
+'E1_Données de projet'!$D$51*(1+Eing_allg_Teuerung/100)^('E1_Données de projet'!$I$51*ROUNDDOWN((AD37-1)/'E1_Données de projet'!$I$51,0))/'E1_Données de projet'!$I$51
+'E1_Données de projet'!$D$52*(1+Eing_allg_Teuerung/100)^('E1_Données de projet'!$I$52*ROUNDDOWN((AD37-1)/'E1_Données de projet'!$I$52,0))/'E1_Données de projet'!$I$52
+'E1_Données de projet'!$D$53*(1+Eing_allg_Teuerung/100)^('E1_Données de projet'!$I$53*ROUNDDOWN((AD37-1)/'E1_Données de projet'!$I$53,0))/'E1_Données de projet'!$I$53
)*((AD37)&gt;0)*VLOOKUP(B37,'E1_Données de projet'!$D$58:$I$60,6
)/100</f>
        <v>0</v>
      </c>
      <c r="O37" s="140">
        <f t="shared" ref="O37:O60" si="11">IF(L37,SUM(L37:N37),SUM(E37:N37))</f>
        <v>40907.333333333336</v>
      </c>
      <c r="P37" s="136">
        <f>SUM((SUMPRODUCT((E3_Consommateurs!$D$21:$XFD$21&lt;B1_Calculs!B37)*E3_Consommateurs!$D$25:$XFD$25)+SUMPRODUCT((E3_Consommateurs!$D$21:$XFD$21=B1_Calculs!B37)*E3_Consommateurs!$D$25:$XFD$25*E3_Consommateurs!$D$20:$XFD$20))*(1+$G$24)^(B37-B$36),(SUMPRODUCT((E3_Consommateurs!$D$21:$XFD$21&lt;B1_Calculs!B37)*E3_Consommateurs!$D$26:$XFD$26)+SUMPRODUCT((E3_Consommateurs!$D$21:$XFD$21=B1_Calculs!B37)*E3_Consommateurs!$D$26:$XFD$26*E3_Consommateurs!$D$20:$XFD$20))*((1+$G$24)*(1-'E1_Données de projet'!$D$19/100))^(B37-B$36))</f>
        <v>0</v>
      </c>
      <c r="Q37" s="137">
        <f>SUMPRODUCT((E3_Consommateurs!$D$21:$XFD$21=B1_Calculs!B37)*E3_Consommateurs!$D$23:$XFD$23)</f>
        <v>0</v>
      </c>
      <c r="R37" s="261">
        <f>SUM(jährlicher_Förderbeitrag*(B37-Erstauszahlung_jährlFörderung&lt;=Eing_Förderung_wiederholend_Laufzeit-1)*(B37&gt;='E1_Données de projet'!$D$83),'E1_Données de projet'!$D$76*(B37='E1_Données de projet'!$D$77),'E1_Données de projet'!$D$78*(B37='E1_Données de projet'!$D$79))</f>
        <v>0</v>
      </c>
      <c r="S37" s="138"/>
      <c r="T37" s="141"/>
      <c r="U37" s="140">
        <f t="shared" ref="U37:U60" si="12">IF(T37,T37,SUM(P37:S37))</f>
        <v>0</v>
      </c>
      <c r="V37" s="142">
        <f t="shared" ref="V37:V60" si="13">U37-O37</f>
        <v>-40907.333333333336</v>
      </c>
      <c r="W37" s="140">
        <f>V37+W36</f>
        <v>-83307.333333333343</v>
      </c>
      <c r="X37" s="137">
        <f>'E1_Données de projet'!$D$48*(AD37-1='E1_Données de projet'!$I$48)*(1+Eing_allg_Teuerung/100)^'E1_Données de projet'!$I$48
+'E1_Données de projet'!$D$49*(AD37-1='E1_Données de projet'!$I$49)*(1+Eing_allg_Teuerung/100)^'E1_Données de projet'!$I$49
+'E1_Données de projet'!$D$50*(AD37-1='E1_Données de projet'!$I$50)*(1+Eing_allg_Teuerung/100)^'E1_Données de projet'!$I$50
+'E1_Données de projet'!$D$51*(AD37-1='E1_Données de projet'!$I$51)*(1+Eing_allg_Teuerung/100)^'E1_Données de projet'!$I$51
+'E1_Données de projet'!$D$52*(AD37-1='E1_Données de projet'!$I$52)*(1+Eing_allg_Teuerung/100)^'E1_Données de projet'!$I$52
+'E1_Données de projet'!$D$53*(AD37-1='E1_Données de projet'!$I$53)*(1+Eing_allg_Teuerung/100)^'E1_Données de projet'!$I$53
+Gesamtinvestition*SUMPRODUCT(('E1_Données de projet'!$D$58:$D$60=B37)*'E1_Données de projet'!$F$58:$F$60)/100</f>
        <v>490500</v>
      </c>
      <c r="Y37" s="143">
        <f t="shared" si="6"/>
        <v>0</v>
      </c>
      <c r="Z37" s="134">
        <f t="shared" si="7"/>
        <v>66666.666666666672</v>
      </c>
      <c r="AA37" s="136">
        <f t="shared" ref="AA37:AA60" si="14">U37-(O37-N37)-X37-Z37+Y37</f>
        <v>-598074</v>
      </c>
      <c r="AB37" s="144">
        <f t="shared" ref="AB37:AB60" si="15">AB36+AA37</f>
        <v>32526</v>
      </c>
      <c r="AC37" s="145"/>
      <c r="AD37" s="146">
        <f>MAX(B1_Calculs!B37+1-'E1_Données de projet'!$D$22,0)</f>
        <v>0</v>
      </c>
      <c r="AE37" s="147">
        <f t="shared" si="8"/>
        <v>-933333.33333333337</v>
      </c>
      <c r="AF37" s="148">
        <f>'E1_Données de projet'!$D$48*(AD37-1='E1_Données de projet'!$I$48)*(1+Eing_allg_Teuerung/100)^'E1_Données de projet'!$I$48
+'E1_Données de projet'!$D$49*(AD37-1='E1_Données de projet'!$I$49)*(1+Eing_allg_Teuerung/100)^'E1_Données de projet'!$I$49
+'E1_Données de projet'!$D$50*(AD37-1='E1_Données de projet'!$I$50)*(1+Eing_allg_Teuerung/100)^'E1_Données de projet'!$I$50
+'E1_Données de projet'!$D$51*(AD37-1='E1_Données de projet'!$I$51)*(1+Eing_allg_Teuerung/100)^'E1_Données de projet'!$I$51
+'E1_Données de projet'!$D$52*(AD37-1='E1_Données de projet'!$I$52)*(1+Eing_allg_Teuerung/100)^'E1_Données de projet'!$I$52
+'E1_Données de projet'!$D$53*(AD37-1='E1_Données de projet'!$I$53)*(1+Eing_allg_Teuerung/100)^'E1_Données de projet'!$I$53
+(Gesamtinvestition-SUM('E1_Données de projet'!$D$54:$D$55))*SUMPRODUCT(('E1_Données de projet'!$D$58:$D$60=B37)*'E1_Données de projet'!$F$58:$F$60)/100+AF36-N37</f>
        <v>710000</v>
      </c>
      <c r="AG37" s="149">
        <f>IF(ISNUMBER(IRR((AJ$36:AJ36,AI37))),IRR((AJ$36:AJ36,AI37)),"-")</f>
        <v>-0.51653311676592684</v>
      </c>
      <c r="AH37" s="150">
        <f t="shared" si="9"/>
        <v>2023</v>
      </c>
      <c r="AI37" s="151">
        <f>SUM(-$X37,$V37,$N37,AF37)</f>
        <v>178592.66666666663</v>
      </c>
      <c r="AJ37" s="151">
        <f t="shared" ref="AJ37:AJ60" si="16">SUM(-$X37,$V37,$N37)</f>
        <v>-531407.33333333337</v>
      </c>
    </row>
    <row r="38" spans="1:36" ht="12.95" customHeight="1" x14ac:dyDescent="0.2">
      <c r="B38" s="133">
        <f t="shared" ref="B38:B60" si="17">B37+1</f>
        <v>2024</v>
      </c>
      <c r="C38" s="134">
        <f>(SUMPRODUCT((E3_Consommateurs!$D$21:$XFD$21&lt;B1_Calculs!B38)*E3_Consommateurs!$D$18:$XFD$18)+SUMPRODUCT((E3_Consommateurs!$D$21:$XFD$21=B1_Calculs!B38)*E3_Consommateurs!$D$18:$XFD$18*E3_Consommateurs!$D$20:$XFD$20))/(100-Eing_Netzverluste)*100*(1-'E1_Données de projet'!$D$19/100)^(B1_Calculs!B38-'E1_Données de projet'!$D$22)</f>
        <v>138.88888888888889</v>
      </c>
      <c r="D38" s="135">
        <f t="shared" si="1"/>
        <v>6.6844919786096257</v>
      </c>
      <c r="E38" s="136">
        <f t="shared" si="2"/>
        <v>6623.5659722222235</v>
      </c>
      <c r="F38" s="137">
        <f t="shared" si="3"/>
        <v>2125.2083333333335</v>
      </c>
      <c r="G38" s="137">
        <f t="shared" si="4"/>
        <v>425.04166666666669</v>
      </c>
      <c r="H38" s="137">
        <f>($F$19*(1+$G$19)^(B38-B$36)+$F$20*(1+$G$20)^(B38-B$36))*(B38&gt;='E1_Données de projet'!$D$22)*VLOOKUP(B38,'E1_Données de projet'!$D$58:$I$60,6)/100</f>
        <v>18361.800000000003</v>
      </c>
      <c r="I38" s="137">
        <f>$F$21*(1+$G$21)^(B38-B$36)*(B38&gt;='E1_Données de projet'!$D$22)*VLOOKUP(B38,'E1_Données de projet'!$D$58:$I$60,6)/100</f>
        <v>24380.39</v>
      </c>
      <c r="J38" s="137">
        <f t="shared" si="10"/>
        <v>17749.739999999998</v>
      </c>
      <c r="K38" s="138"/>
      <c r="L38" s="139"/>
      <c r="M38" s="134">
        <f t="shared" si="5"/>
        <v>21666.666666666664</v>
      </c>
      <c r="N38" s="137">
        <f>+('E1_Données de projet'!$D$48*(1+Eing_allg_Teuerung/100)^('E1_Données de projet'!$I$48*ROUNDDOWN((AD38-1)/'E1_Données de projet'!$I$48,0))/'E1_Données de projet'!$I$48
+'E1_Données de projet'!$D$49*(1+Eing_allg_Teuerung/100)^('E1_Données de projet'!$I$49*ROUNDDOWN((AD38-1)/'E1_Données de projet'!$I$49,0))/'E1_Données de projet'!$I$49
+'E1_Données de projet'!$D$50*(1+Eing_allg_Teuerung/100)^('E1_Données de projet'!$I$50*ROUNDDOWN((AD38-1)/'E1_Données de projet'!$I$50,0))/'E1_Données de projet'!$I$50
+'E1_Données de projet'!$D$51*(1+Eing_allg_Teuerung/100)^('E1_Données de projet'!$I$51*ROUNDDOWN((AD38-1)/'E1_Données de projet'!$I$51,0))/'E1_Données de projet'!$I$51
+'E1_Données de projet'!$D$52*(1+Eing_allg_Teuerung/100)^('E1_Données de projet'!$I$52*ROUNDDOWN((AD38-1)/'E1_Données de projet'!$I$52,0))/'E1_Données de projet'!$I$52
+'E1_Données de projet'!$D$53*(1+Eing_allg_Teuerung/100)^('E1_Données de projet'!$I$53*ROUNDDOWN((AD38-1)/'E1_Données de projet'!$I$53,0))/'E1_Données de projet'!$I$53
)*((AD38)&gt;0)*VLOOKUP(B38,'E1_Données de projet'!$D$58:$I$60,6
)/100</f>
        <v>43833.333333333343</v>
      </c>
      <c r="O38" s="140">
        <f t="shared" si="11"/>
        <v>135165.74597222221</v>
      </c>
      <c r="P38" s="136">
        <f>SUM((SUMPRODUCT((E3_Consommateurs!$D$21:$XFD$21&lt;B1_Calculs!B38)*E3_Consommateurs!$D$25:$XFD$25)+SUMPRODUCT((E3_Consommateurs!$D$21:$XFD$21=B1_Calculs!B38)*E3_Consommateurs!$D$25:$XFD$25*E3_Consommateurs!$D$20:$XFD$20))*(1+$G$24)^(B38-B$36),(SUMPRODUCT((E3_Consommateurs!$D$21:$XFD$21&lt;B1_Calculs!B38)*E3_Consommateurs!$D$26:$XFD$26)+SUMPRODUCT((E3_Consommateurs!$D$21:$XFD$21=B1_Calculs!B38)*E3_Consommateurs!$D$26:$XFD$26*E3_Consommateurs!$D$20:$XFD$20))*((1+$G$24)*(1-'E1_Données de projet'!$D$19/100))^(B38-B$36))</f>
        <v>19000.637624999999</v>
      </c>
      <c r="Q38" s="137">
        <f>SUMPRODUCT((E3_Consommateurs!$D$21:$XFD$21=B1_Calculs!B38)*E3_Consommateurs!$D$23:$XFD$23)</f>
        <v>80000</v>
      </c>
      <c r="R38" s="261">
        <f>SUM(jährlicher_Förderbeitrag*(B38-Erstauszahlung_jährlFörderung&lt;=Eing_Förderung_wiederholend_Laufzeit-1)*(B38&gt;='E1_Données de projet'!$D$83),'E1_Données de projet'!$D$76*(B38='E1_Données de projet'!$D$77),'E1_Données de projet'!$D$78*(B38='E1_Données de projet'!$D$79))</f>
        <v>159000</v>
      </c>
      <c r="S38" s="138"/>
      <c r="T38" s="141"/>
      <c r="U38" s="140">
        <f t="shared" si="12"/>
        <v>258000.637625</v>
      </c>
      <c r="V38" s="142">
        <f t="shared" si="13"/>
        <v>122834.89165277779</v>
      </c>
      <c r="W38" s="140">
        <f t="shared" ref="W38:W60" si="18">V38+W37</f>
        <v>39527.558319444448</v>
      </c>
      <c r="X38" s="137">
        <f>'E1_Données de projet'!$D$48*(AD38-1='E1_Données de projet'!$I$48)*(1+Eing_allg_Teuerung/100)^'E1_Données de projet'!$I$48
+'E1_Données de projet'!$D$49*(AD38-1='E1_Données de projet'!$I$49)*(1+Eing_allg_Teuerung/100)^'E1_Données de projet'!$I$49
+'E1_Données de projet'!$D$50*(AD38-1='E1_Données de projet'!$I$50)*(1+Eing_allg_Teuerung/100)^'E1_Données de projet'!$I$50
+'E1_Données de projet'!$D$51*(AD38-1='E1_Données de projet'!$I$51)*(1+Eing_allg_Teuerung/100)^'E1_Données de projet'!$I$51
+'E1_Données de projet'!$D$52*(AD38-1='E1_Données de projet'!$I$52)*(1+Eing_allg_Teuerung/100)^'E1_Données de projet'!$I$52
+'E1_Données de projet'!$D$53*(AD38-1='E1_Données de projet'!$I$53)*(1+Eing_allg_Teuerung/100)^'E1_Données de projet'!$I$53
+Gesamtinvestition*SUMPRODUCT(('E1_Données de projet'!$D$58:$D$60=B38)*'E1_Données de projet'!$F$58:$F$60)/100</f>
        <v>817500</v>
      </c>
      <c r="Y38" s="143">
        <f t="shared" si="6"/>
        <v>0</v>
      </c>
      <c r="Z38" s="134">
        <f t="shared" si="7"/>
        <v>66666.666666666672</v>
      </c>
      <c r="AA38" s="136">
        <f t="shared" si="14"/>
        <v>-717498.44168055546</v>
      </c>
      <c r="AB38" s="144">
        <f t="shared" si="15"/>
        <v>-684972.44168055546</v>
      </c>
      <c r="AC38" s="145"/>
      <c r="AD38" s="146">
        <f>MAX(B1_Calculs!B38+1-'E1_Données de projet'!$D$22,0)</f>
        <v>1</v>
      </c>
      <c r="AE38" s="147">
        <f t="shared" si="8"/>
        <v>-866666.66666666663</v>
      </c>
      <c r="AF38" s="148">
        <f>'E1_Données de projet'!$D$48*(AD38-1='E1_Données de projet'!$I$48)*(1+Eing_allg_Teuerung/100)^'E1_Données de projet'!$I$48
+'E1_Données de projet'!$D$49*(AD38-1='E1_Données de projet'!$I$49)*(1+Eing_allg_Teuerung/100)^'E1_Données de projet'!$I$49
+'E1_Données de projet'!$D$50*(AD38-1='E1_Données de projet'!$I$50)*(1+Eing_allg_Teuerung/100)^'E1_Données de projet'!$I$50
+'E1_Données de projet'!$D$51*(AD38-1='E1_Données de projet'!$I$51)*(1+Eing_allg_Teuerung/100)^'E1_Données de projet'!$I$51
+'E1_Données de projet'!$D$52*(AD38-1='E1_Données de projet'!$I$52)*(1+Eing_allg_Teuerung/100)^'E1_Données de projet'!$I$52
+'E1_Données de projet'!$D$53*(AD38-1='E1_Données de projet'!$I$53)*(1+Eing_allg_Teuerung/100)^'E1_Données de projet'!$I$53
+(Gesamtinvestition-SUM('E1_Données de projet'!$D$54:$D$55))*SUMPRODUCT(('E1_Données de projet'!$D$58:$D$60=B38)*'E1_Données de projet'!$F$58:$F$60)/100+AF37-N38</f>
        <v>1376166.6666666667</v>
      </c>
      <c r="AG38" s="149">
        <f>IF(ISNUMBER(IRR((AJ$36:AJ37,AI38))),IRR((AJ$36:AJ37,AI38)),"-")</f>
        <v>-0.14419116148024913</v>
      </c>
      <c r="AH38" s="150">
        <f t="shared" si="9"/>
        <v>2024</v>
      </c>
      <c r="AI38" s="151">
        <f t="shared" ref="AI38:AI60" si="19">SUM(-$X38,$V38,$N38,AF38)</f>
        <v>725334.89165277791</v>
      </c>
      <c r="AJ38" s="151">
        <f t="shared" si="16"/>
        <v>-650831.77501388884</v>
      </c>
    </row>
    <row r="39" spans="1:36" ht="12.95" customHeight="1" x14ac:dyDescent="0.2">
      <c r="B39" s="133">
        <f t="shared" si="17"/>
        <v>2025</v>
      </c>
      <c r="C39" s="134">
        <f>(SUMPRODUCT((E3_Consommateurs!$D$21:$XFD$21&lt;B1_Calculs!B39)*E3_Consommateurs!$D$18:$XFD$18)+SUMPRODUCT((E3_Consommateurs!$D$21:$XFD$21=B1_Calculs!B39)*E3_Consommateurs!$D$18:$XFD$18*E3_Consommateurs!$D$20:$XFD$20))/(100-Eing_Netzverluste)*100*(1-'E1_Données de projet'!$D$19/100)^(B1_Calculs!B39-'E1_Données de projet'!$D$22)</f>
        <v>951.5</v>
      </c>
      <c r="D39" s="135">
        <f t="shared" si="1"/>
        <v>45.794117647058826</v>
      </c>
      <c r="E39" s="136">
        <f t="shared" si="2"/>
        <v>45830.493020125003</v>
      </c>
      <c r="F39" s="137">
        <f t="shared" si="3"/>
        <v>14704.9710225</v>
      </c>
      <c r="G39" s="137">
        <f t="shared" si="4"/>
        <v>2940.9942044999998</v>
      </c>
      <c r="H39" s="137">
        <f>($F$19*(1+$G$19)^(B39-B$36)+$F$20*(1+$G$20)^(B39-B$36))*(B39&gt;='E1_Données de projet'!$D$22)*VLOOKUP(B39,'E1_Données de projet'!$D$58:$I$60,6)/100</f>
        <v>18545.417999999998</v>
      </c>
      <c r="I39" s="137">
        <f>$F$21*(1+$G$21)^(B39-B$36)*(B39&gt;='E1_Données de projet'!$D$22)*VLOOKUP(B39,'E1_Données de projet'!$D$58:$I$60,6)/100</f>
        <v>24624.193899999998</v>
      </c>
      <c r="J39" s="137">
        <f t="shared" si="10"/>
        <v>17927.237399999998</v>
      </c>
      <c r="K39" s="138"/>
      <c r="L39" s="139"/>
      <c r="M39" s="134">
        <f t="shared" si="5"/>
        <v>20000</v>
      </c>
      <c r="N39" s="137">
        <f>+('E1_Données de projet'!$D$48*(1+Eing_allg_Teuerung/100)^('E1_Données de projet'!$I$48*ROUNDDOWN((AD39-1)/'E1_Données de projet'!$I$48,0))/'E1_Données de projet'!$I$48
+'E1_Données de projet'!$D$49*(1+Eing_allg_Teuerung/100)^('E1_Données de projet'!$I$49*ROUNDDOWN((AD39-1)/'E1_Données de projet'!$I$49,0))/'E1_Données de projet'!$I$49
+'E1_Données de projet'!$D$50*(1+Eing_allg_Teuerung/100)^('E1_Données de projet'!$I$50*ROUNDDOWN((AD39-1)/'E1_Données de projet'!$I$50,0))/'E1_Données de projet'!$I$50
+'E1_Données de projet'!$D$51*(1+Eing_allg_Teuerung/100)^('E1_Données de projet'!$I$51*ROUNDDOWN((AD39-1)/'E1_Données de projet'!$I$51,0))/'E1_Données de projet'!$I$51
+'E1_Données de projet'!$D$52*(1+Eing_allg_Teuerung/100)^('E1_Données de projet'!$I$52*ROUNDDOWN((AD39-1)/'E1_Données de projet'!$I$52,0))/'E1_Données de projet'!$I$52
+'E1_Données de projet'!$D$53*(1+Eing_allg_Teuerung/100)^('E1_Données de projet'!$I$53*ROUNDDOWN((AD39-1)/'E1_Données de projet'!$I$53,0))/'E1_Données de projet'!$I$53
)*((AD39)&gt;0)*VLOOKUP(B39,'E1_Données de projet'!$D$58:$I$60,6
)/100</f>
        <v>43833.333333333343</v>
      </c>
      <c r="O39" s="140">
        <f t="shared" si="11"/>
        <v>188406.64088045835</v>
      </c>
      <c r="P39" s="136">
        <f>SUM((SUMPRODUCT((E3_Consommateurs!$D$21:$XFD$21&lt;B1_Calculs!B39)*E3_Consommateurs!$D$25:$XFD$25)+SUMPRODUCT((E3_Consommateurs!$D$21:$XFD$21=B1_Calculs!B39)*E3_Consommateurs!$D$25:$XFD$25*E3_Consommateurs!$D$20:$XFD$20))*(1+$G$24)^(B39-B$36),(SUMPRODUCT((E3_Consommateurs!$D$21:$XFD$21&lt;B1_Calculs!B39)*E3_Consommateurs!$D$26:$XFD$26)+SUMPRODUCT((E3_Consommateurs!$D$21:$XFD$21=B1_Calculs!B39)*E3_Consommateurs!$D$26:$XFD$26*E3_Consommateurs!$D$20:$XFD$20))*((1+$G$24)*(1-'E1_Données de projet'!$D$19/100))^(B39-B$36))</f>
        <v>131395.17619491351</v>
      </c>
      <c r="Q39" s="137">
        <f>SUMPRODUCT((E3_Consommateurs!$D$21:$XFD$21=B1_Calculs!B39)*E3_Consommateurs!$D$23:$XFD$23)</f>
        <v>520000</v>
      </c>
      <c r="R39" s="261">
        <f>SUM(jährlicher_Förderbeitrag*(B39-Erstauszahlung_jährlFörderung&lt;=Eing_Förderung_wiederholend_Laufzeit-1)*(B39&gt;='E1_Données de projet'!$D$83),'E1_Données de projet'!$D$76*(B39='E1_Données de projet'!$D$77),'E1_Données de projet'!$D$78*(B39='E1_Données de projet'!$D$79))</f>
        <v>50000</v>
      </c>
      <c r="S39" s="138"/>
      <c r="T39" s="141"/>
      <c r="U39" s="140">
        <f t="shared" si="12"/>
        <v>701395.17619491345</v>
      </c>
      <c r="V39" s="142">
        <f t="shared" si="13"/>
        <v>512988.5353144551</v>
      </c>
      <c r="W39" s="140">
        <f t="shared" si="18"/>
        <v>552516.09363389958</v>
      </c>
      <c r="X39" s="137">
        <f>'E1_Données de projet'!$D$48*(AD39-1='E1_Données de projet'!$I$48)*(1+Eing_allg_Teuerung/100)^'E1_Données de projet'!$I$48
+'E1_Données de projet'!$D$49*(AD39-1='E1_Données de projet'!$I$49)*(1+Eing_allg_Teuerung/100)^'E1_Données de projet'!$I$49
+'E1_Données de projet'!$D$50*(AD39-1='E1_Données de projet'!$I$50)*(1+Eing_allg_Teuerung/100)^'E1_Données de projet'!$I$50
+'E1_Données de projet'!$D$51*(AD39-1='E1_Données de projet'!$I$51)*(1+Eing_allg_Teuerung/100)^'E1_Données de projet'!$I$51
+'E1_Données de projet'!$D$52*(AD39-1='E1_Données de projet'!$I$52)*(1+Eing_allg_Teuerung/100)^'E1_Données de projet'!$I$52
+'E1_Données de projet'!$D$53*(AD39-1='E1_Données de projet'!$I$53)*(1+Eing_allg_Teuerung/100)^'E1_Données de projet'!$I$53
+Gesamtinvestition*SUMPRODUCT(('E1_Données de projet'!$D$58:$D$60=B39)*'E1_Données de projet'!$F$58:$F$60)/100</f>
        <v>0</v>
      </c>
      <c r="Y39" s="143">
        <f t="shared" si="6"/>
        <v>0</v>
      </c>
      <c r="Z39" s="134">
        <f t="shared" si="7"/>
        <v>66666.666666666672</v>
      </c>
      <c r="AA39" s="136">
        <f t="shared" si="14"/>
        <v>490155.20198112173</v>
      </c>
      <c r="AB39" s="144">
        <f t="shared" si="15"/>
        <v>-194817.23969943373</v>
      </c>
      <c r="AC39" s="145"/>
      <c r="AD39" s="146">
        <f>MAX(B1_Calculs!B39+1-'E1_Données de projet'!$D$22,0)</f>
        <v>2</v>
      </c>
      <c r="AE39" s="147">
        <f t="shared" si="8"/>
        <v>-800000</v>
      </c>
      <c r="AF39" s="148">
        <f>'E1_Données de projet'!$D$48*(AD39-1='E1_Données de projet'!$I$48)*(1+Eing_allg_Teuerung/100)^'E1_Données de projet'!$I$48
+'E1_Données de projet'!$D$49*(AD39-1='E1_Données de projet'!$I$49)*(1+Eing_allg_Teuerung/100)^'E1_Données de projet'!$I$49
+'E1_Données de projet'!$D$50*(AD39-1='E1_Données de projet'!$I$50)*(1+Eing_allg_Teuerung/100)^'E1_Données de projet'!$I$50
+'E1_Données de projet'!$D$51*(AD39-1='E1_Données de projet'!$I$51)*(1+Eing_allg_Teuerung/100)^'E1_Données de projet'!$I$51
+'E1_Données de projet'!$D$52*(AD39-1='E1_Données de projet'!$I$52)*(1+Eing_allg_Teuerung/100)^'E1_Données de projet'!$I$52
+'E1_Données de projet'!$D$53*(AD39-1='E1_Données de projet'!$I$53)*(1+Eing_allg_Teuerung/100)^'E1_Données de projet'!$I$53
+(Gesamtinvestition-SUM('E1_Données de projet'!$D$54:$D$55))*SUMPRODUCT(('E1_Données de projet'!$D$58:$D$60=B39)*'E1_Données de projet'!$F$58:$F$60)/100+AF38-N39</f>
        <v>1332333.3333333335</v>
      </c>
      <c r="AG39" s="149">
        <f>IF(ISNUMBER(IRR((AJ$36:AJ38,AI39))),IRR((AJ$36:AJ38,AI39)),"-")</f>
        <v>0.11211959094173185</v>
      </c>
      <c r="AH39" s="150">
        <f t="shared" si="9"/>
        <v>2025</v>
      </c>
      <c r="AI39" s="151">
        <f t="shared" si="19"/>
        <v>1889155.2019811219</v>
      </c>
      <c r="AJ39" s="151">
        <f t="shared" si="16"/>
        <v>556821.86864778842</v>
      </c>
    </row>
    <row r="40" spans="1:36" ht="12.95" customHeight="1" x14ac:dyDescent="0.2">
      <c r="B40" s="133">
        <f t="shared" si="17"/>
        <v>2026</v>
      </c>
      <c r="C40" s="134">
        <f>(SUMPRODUCT((E3_Consommateurs!$D$21:$XFD$21&lt;B1_Calculs!B40)*E3_Consommateurs!$D$18:$XFD$18)+SUMPRODUCT((E3_Consommateurs!$D$21:$XFD$21=B1_Calculs!B40)*E3_Consommateurs!$D$18:$XFD$18*E3_Consommateurs!$D$20:$XFD$20))/(100-Eing_Netzverluste)*100*(1-'E1_Données de projet'!$D$19/100)^(B1_Calculs!B40-'E1_Données de projet'!$D$22)</f>
        <v>1976.5350000000001</v>
      </c>
      <c r="D40" s="135">
        <f t="shared" si="1"/>
        <v>95.127352941176468</v>
      </c>
      <c r="E40" s="136">
        <f t="shared" si="2"/>
        <v>96154.944042825111</v>
      </c>
      <c r="F40" s="137">
        <f t="shared" si="3"/>
        <v>30851.853703580251</v>
      </c>
      <c r="G40" s="137">
        <f t="shared" si="4"/>
        <v>6170.3707407160509</v>
      </c>
      <c r="H40" s="137">
        <f>($F$19*(1+$G$19)^(B40-B$36)+$F$20*(1+$G$20)^(B40-B$36))*(B40&gt;='E1_Données de projet'!$D$22)*VLOOKUP(B40,'E1_Données de projet'!$D$58:$I$60,6)/100</f>
        <v>18730.872179999998</v>
      </c>
      <c r="I40" s="137">
        <f>$F$21*(1+$G$21)^(B40-B$36)*(B40&gt;='E1_Données de projet'!$D$22)*VLOOKUP(B40,'E1_Données de projet'!$D$58:$I$60,6)/100</f>
        <v>24870.435838999998</v>
      </c>
      <c r="J40" s="137">
        <f t="shared" si="10"/>
        <v>18106.509773999998</v>
      </c>
      <c r="K40" s="138"/>
      <c r="L40" s="139"/>
      <c r="M40" s="134">
        <f t="shared" si="5"/>
        <v>18333.333333333328</v>
      </c>
      <c r="N40" s="137">
        <f>+('E1_Données de projet'!$D$48*(1+Eing_allg_Teuerung/100)^('E1_Données de projet'!$I$48*ROUNDDOWN((AD40-1)/'E1_Données de projet'!$I$48,0))/'E1_Données de projet'!$I$48
+'E1_Données de projet'!$D$49*(1+Eing_allg_Teuerung/100)^('E1_Données de projet'!$I$49*ROUNDDOWN((AD40-1)/'E1_Données de projet'!$I$49,0))/'E1_Données de projet'!$I$49
+'E1_Données de projet'!$D$50*(1+Eing_allg_Teuerung/100)^('E1_Données de projet'!$I$50*ROUNDDOWN((AD40-1)/'E1_Données de projet'!$I$50,0))/'E1_Données de projet'!$I$50
+'E1_Données de projet'!$D$51*(1+Eing_allg_Teuerung/100)^('E1_Données de projet'!$I$51*ROUNDDOWN((AD40-1)/'E1_Données de projet'!$I$51,0))/'E1_Données de projet'!$I$51
+'E1_Données de projet'!$D$52*(1+Eing_allg_Teuerung/100)^('E1_Données de projet'!$I$52*ROUNDDOWN((AD40-1)/'E1_Données de projet'!$I$52,0))/'E1_Données de projet'!$I$52
+'E1_Données de projet'!$D$53*(1+Eing_allg_Teuerung/100)^('E1_Données de projet'!$I$53*ROUNDDOWN((AD40-1)/'E1_Données de projet'!$I$53,0))/'E1_Données de projet'!$I$53
)*((AD40)&gt;0)*VLOOKUP(B40,'E1_Données de projet'!$D$58:$I$60,6
)/100</f>
        <v>43833.333333333343</v>
      </c>
      <c r="O40" s="140">
        <f t="shared" si="11"/>
        <v>257051.65294678809</v>
      </c>
      <c r="P40" s="136">
        <f>SUM((SUMPRODUCT((E3_Consommateurs!$D$21:$XFD$21&lt;B1_Calculs!B40)*E3_Consommateurs!$D$25:$XFD$25)+SUMPRODUCT((E3_Consommateurs!$D$21:$XFD$21=B1_Calculs!B40)*E3_Consommateurs!$D$25:$XFD$25*E3_Consommateurs!$D$20:$XFD$20))*(1+$G$24)^(B40-B$36),(SUMPRODUCT((E3_Consommateurs!$D$21:$XFD$21&lt;B1_Calculs!B40)*E3_Consommateurs!$D$26:$XFD$26)+SUMPRODUCT((E3_Consommateurs!$D$21:$XFD$21=B1_Calculs!B40)*E3_Consommateurs!$D$26:$XFD$26*E3_Consommateurs!$D$20:$XFD$20))*((1+$G$24)*(1-'E1_Données de projet'!$D$19/100))^(B40-B$36))</f>
        <v>277084.93450852402</v>
      </c>
      <c r="Q40" s="137">
        <f>SUMPRODUCT((E3_Consommateurs!$D$21:$XFD$21=B1_Calculs!B40)*E3_Consommateurs!$D$23:$XFD$23)</f>
        <v>50000</v>
      </c>
      <c r="R40" s="261">
        <f>SUM(jährlicher_Förderbeitrag*(B40-Erstauszahlung_jährlFörderung&lt;=Eing_Förderung_wiederholend_Laufzeit-1)*(B40&gt;='E1_Données de projet'!$D$83),'E1_Données de projet'!$D$76*(B40='E1_Données de projet'!$D$77),'E1_Données de projet'!$D$78*(B40='E1_Données de projet'!$D$79))</f>
        <v>10000</v>
      </c>
      <c r="S40" s="138"/>
      <c r="T40" s="141"/>
      <c r="U40" s="140">
        <f t="shared" si="12"/>
        <v>337084.93450852402</v>
      </c>
      <c r="V40" s="142">
        <f t="shared" si="13"/>
        <v>80033.28156173593</v>
      </c>
      <c r="W40" s="140">
        <f t="shared" si="18"/>
        <v>632549.37519563548</v>
      </c>
      <c r="X40" s="137">
        <f>'E1_Données de projet'!$D$48*(AD40-1='E1_Données de projet'!$I$48)*(1+Eing_allg_Teuerung/100)^'E1_Données de projet'!$I$48
+'E1_Données de projet'!$D$49*(AD40-1='E1_Données de projet'!$I$49)*(1+Eing_allg_Teuerung/100)^'E1_Données de projet'!$I$49
+'E1_Données de projet'!$D$50*(AD40-1='E1_Données de projet'!$I$50)*(1+Eing_allg_Teuerung/100)^'E1_Données de projet'!$I$50
+'E1_Données de projet'!$D$51*(AD40-1='E1_Données de projet'!$I$51)*(1+Eing_allg_Teuerung/100)^'E1_Données de projet'!$I$51
+'E1_Données de projet'!$D$52*(AD40-1='E1_Données de projet'!$I$52)*(1+Eing_allg_Teuerung/100)^'E1_Données de projet'!$I$52
+'E1_Données de projet'!$D$53*(AD40-1='E1_Données de projet'!$I$53)*(1+Eing_allg_Teuerung/100)^'E1_Données de projet'!$I$53
+Gesamtinvestition*SUMPRODUCT(('E1_Données de projet'!$D$58:$D$60=B40)*'E1_Données de projet'!$F$58:$F$60)/100</f>
        <v>0</v>
      </c>
      <c r="Y40" s="143">
        <f t="shared" si="6"/>
        <v>0</v>
      </c>
      <c r="Z40" s="134">
        <f t="shared" si="7"/>
        <v>66666.666666666672</v>
      </c>
      <c r="AA40" s="136">
        <f t="shared" si="14"/>
        <v>57199.948228402602</v>
      </c>
      <c r="AB40" s="144">
        <f t="shared" si="15"/>
        <v>-137617.29147103115</v>
      </c>
      <c r="AC40" s="145"/>
      <c r="AD40" s="146">
        <f>MAX(B1_Calculs!B40+1-'E1_Données de projet'!$D$22,0)</f>
        <v>3</v>
      </c>
      <c r="AE40" s="147">
        <f t="shared" si="8"/>
        <v>-733333.33333333326</v>
      </c>
      <c r="AF40" s="148">
        <f>'E1_Données de projet'!$D$48*(AD40-1='E1_Données de projet'!$I$48)*(1+Eing_allg_Teuerung/100)^'E1_Données de projet'!$I$48
+'E1_Données de projet'!$D$49*(AD40-1='E1_Données de projet'!$I$49)*(1+Eing_allg_Teuerung/100)^'E1_Données de projet'!$I$49
+'E1_Données de projet'!$D$50*(AD40-1='E1_Données de projet'!$I$50)*(1+Eing_allg_Teuerung/100)^'E1_Données de projet'!$I$50
+'E1_Données de projet'!$D$51*(AD40-1='E1_Données de projet'!$I$51)*(1+Eing_allg_Teuerung/100)^'E1_Données de projet'!$I$51
+'E1_Données de projet'!$D$52*(AD40-1='E1_Données de projet'!$I$52)*(1+Eing_allg_Teuerung/100)^'E1_Données de projet'!$I$52
+'E1_Données de projet'!$D$53*(AD40-1='E1_Données de projet'!$I$53)*(1+Eing_allg_Teuerung/100)^'E1_Données de projet'!$I$53
+(Gesamtinvestition-SUM('E1_Données de projet'!$D$54:$D$55))*SUMPRODUCT(('E1_Données de projet'!$D$58:$D$60=B40)*'E1_Données de projet'!$F$58:$F$60)/100+AF39-N40</f>
        <v>1288500.0000000002</v>
      </c>
      <c r="AG40" s="149">
        <f>IF(ISNUMBER(IRR((AJ$36:AJ39,AI40))),IRR((AJ$36:AJ39,AI40)),"-")</f>
        <v>9.7735440986643329E-2</v>
      </c>
      <c r="AH40" s="150">
        <f t="shared" si="9"/>
        <v>2026</v>
      </c>
      <c r="AI40" s="151">
        <f t="shared" si="19"/>
        <v>1412366.6148950695</v>
      </c>
      <c r="AJ40" s="151">
        <f t="shared" si="16"/>
        <v>123866.61489506927</v>
      </c>
    </row>
    <row r="41" spans="1:36" ht="12.95" customHeight="1" x14ac:dyDescent="0.2">
      <c r="B41" s="133">
        <f t="shared" si="17"/>
        <v>2027</v>
      </c>
      <c r="C41" s="134">
        <f>(SUMPRODUCT((E3_Consommateurs!$D$21:$XFD$21&lt;B1_Calculs!B41)*E3_Consommateurs!$D$18:$XFD$18)+SUMPRODUCT((E3_Consommateurs!$D$21:$XFD$21=B1_Calculs!B41)*E3_Consommateurs!$D$18:$XFD$18*E3_Consommateurs!$D$20:$XFD$20))/(100-Eing_Netzverluste)*100*(1-'E1_Données de projet'!$D$19/100)^(B1_Calculs!B41-'E1_Données de projet'!$D$22)</f>
        <v>2016.0656999999999</v>
      </c>
      <c r="D41" s="135">
        <f t="shared" si="1"/>
        <v>97.029899999999998</v>
      </c>
      <c r="E41" s="136">
        <f t="shared" si="2"/>
        <v>99058.823352918451</v>
      </c>
      <c r="F41" s="137">
        <f t="shared" si="3"/>
        <v>31783.579685428373</v>
      </c>
      <c r="G41" s="137">
        <f t="shared" si="4"/>
        <v>6356.7159370856734</v>
      </c>
      <c r="H41" s="137">
        <f>($F$19*(1+$G$19)^(B41-B$36)+$F$20*(1+$G$20)^(B41-B$36))*(B41&gt;='E1_Données de projet'!$D$22)*VLOOKUP(B41,'E1_Données de projet'!$D$58:$I$60,6)/100</f>
        <v>18918.180901799999</v>
      </c>
      <c r="I41" s="137">
        <f>$F$21*(1+$G$21)^(B41-B$36)*(B41&gt;='E1_Données de projet'!$D$22)*VLOOKUP(B41,'E1_Données de projet'!$D$58:$I$60,6)/100</f>
        <v>25119.140197390003</v>
      </c>
      <c r="J41" s="137">
        <f t="shared" si="10"/>
        <v>18287.574871740002</v>
      </c>
      <c r="K41" s="138"/>
      <c r="L41" s="139"/>
      <c r="M41" s="134">
        <f t="shared" si="5"/>
        <v>16666.666666666664</v>
      </c>
      <c r="N41" s="137">
        <f>+('E1_Données de projet'!$D$48*(1+Eing_allg_Teuerung/100)^('E1_Données de projet'!$I$48*ROUNDDOWN((AD41-1)/'E1_Données de projet'!$I$48,0))/'E1_Données de projet'!$I$48
+'E1_Données de projet'!$D$49*(1+Eing_allg_Teuerung/100)^('E1_Données de projet'!$I$49*ROUNDDOWN((AD41-1)/'E1_Données de projet'!$I$49,0))/'E1_Données de projet'!$I$49
+'E1_Données de projet'!$D$50*(1+Eing_allg_Teuerung/100)^('E1_Données de projet'!$I$50*ROUNDDOWN((AD41-1)/'E1_Données de projet'!$I$50,0))/'E1_Données de projet'!$I$50
+'E1_Données de projet'!$D$51*(1+Eing_allg_Teuerung/100)^('E1_Données de projet'!$I$51*ROUNDDOWN((AD41-1)/'E1_Données de projet'!$I$51,0))/'E1_Données de projet'!$I$51
+'E1_Données de projet'!$D$52*(1+Eing_allg_Teuerung/100)^('E1_Données de projet'!$I$52*ROUNDDOWN((AD41-1)/'E1_Données de projet'!$I$52,0))/'E1_Données de projet'!$I$52
+'E1_Données de projet'!$D$53*(1+Eing_allg_Teuerung/100)^('E1_Données de projet'!$I$53*ROUNDDOWN((AD41-1)/'E1_Données de projet'!$I$53,0))/'E1_Données de projet'!$I$53
)*((AD41)&gt;0)*VLOOKUP(B41,'E1_Données de projet'!$D$58:$I$60,6
)/100</f>
        <v>43833.333333333343</v>
      </c>
      <c r="O41" s="140">
        <f t="shared" si="11"/>
        <v>260024.0149463625</v>
      </c>
      <c r="P41" s="136">
        <f>SUM((SUMPRODUCT((E3_Consommateurs!$D$21:$XFD$21&lt;B1_Calculs!B41)*E3_Consommateurs!$D$25:$XFD$25)+SUMPRODUCT((E3_Consommateurs!$D$21:$XFD$21=B1_Calculs!B41)*E3_Consommateurs!$D$25:$XFD$25*E3_Consommateurs!$D$20:$XFD$20))*(1+$G$24)^(B41-B$36),(SUMPRODUCT((E3_Consommateurs!$D$21:$XFD$21&lt;B1_Calculs!B41)*E3_Consommateurs!$D$26:$XFD$26)+SUMPRODUCT((E3_Consommateurs!$D$21:$XFD$21=B1_Calculs!B41)*E3_Consommateurs!$D$26:$XFD$26*E3_Consommateurs!$D$20:$XFD$20))*((1+$G$24)*(1-'E1_Données de projet'!$D$19/100))^(B41-B$36))</f>
        <v>287856.0340102351</v>
      </c>
      <c r="Q41" s="137">
        <f>SUMPRODUCT((E3_Consommateurs!$D$21:$XFD$21=B1_Calculs!B41)*E3_Consommateurs!$D$23:$XFD$23)</f>
        <v>0</v>
      </c>
      <c r="R41" s="261">
        <f>SUM(jährlicher_Förderbeitrag*(B41-Erstauszahlung_jährlFörderung&lt;=Eing_Förderung_wiederholend_Laufzeit-1)*(B41&gt;='E1_Données de projet'!$D$83),'E1_Données de projet'!$D$76*(B41='E1_Données de projet'!$D$77),'E1_Données de projet'!$D$78*(B41='E1_Données de projet'!$D$79))</f>
        <v>10000</v>
      </c>
      <c r="S41" s="138"/>
      <c r="T41" s="141"/>
      <c r="U41" s="140">
        <f t="shared" si="12"/>
        <v>297856.0340102351</v>
      </c>
      <c r="V41" s="142">
        <f t="shared" si="13"/>
        <v>37832.019063872605</v>
      </c>
      <c r="W41" s="140">
        <f t="shared" si="18"/>
        <v>670381.39425950812</v>
      </c>
      <c r="X41" s="137">
        <f>'E1_Données de projet'!$D$48*(AD41-1='E1_Données de projet'!$I$48)*(1+Eing_allg_Teuerung/100)^'E1_Données de projet'!$I$48
+'E1_Données de projet'!$D$49*(AD41-1='E1_Données de projet'!$I$49)*(1+Eing_allg_Teuerung/100)^'E1_Données de projet'!$I$49
+'E1_Données de projet'!$D$50*(AD41-1='E1_Données de projet'!$I$50)*(1+Eing_allg_Teuerung/100)^'E1_Données de projet'!$I$50
+'E1_Données de projet'!$D$51*(AD41-1='E1_Données de projet'!$I$51)*(1+Eing_allg_Teuerung/100)^'E1_Données de projet'!$I$51
+'E1_Données de projet'!$D$52*(AD41-1='E1_Données de projet'!$I$52)*(1+Eing_allg_Teuerung/100)^'E1_Données de projet'!$I$52
+'E1_Données de projet'!$D$53*(AD41-1='E1_Données de projet'!$I$53)*(1+Eing_allg_Teuerung/100)^'E1_Données de projet'!$I$53
+Gesamtinvestition*SUMPRODUCT(('E1_Données de projet'!$D$58:$D$60=B41)*'E1_Données de projet'!$F$58:$F$60)/100</f>
        <v>0</v>
      </c>
      <c r="Y41" s="143">
        <f t="shared" si="6"/>
        <v>0</v>
      </c>
      <c r="Z41" s="134">
        <f t="shared" si="7"/>
        <v>66666.666666666672</v>
      </c>
      <c r="AA41" s="136">
        <f t="shared" si="14"/>
        <v>14998.685730539277</v>
      </c>
      <c r="AB41" s="144">
        <f t="shared" si="15"/>
        <v>-122618.60574049187</v>
      </c>
      <c r="AC41" s="145"/>
      <c r="AD41" s="146">
        <f>MAX(B1_Calculs!B41+1-'E1_Données de projet'!$D$22,0)</f>
        <v>4</v>
      </c>
      <c r="AE41" s="147">
        <f t="shared" si="8"/>
        <v>-666666.66666666663</v>
      </c>
      <c r="AF41" s="148">
        <f>'E1_Données de projet'!$D$48*(AD41-1='E1_Données de projet'!$I$48)*(1+Eing_allg_Teuerung/100)^'E1_Données de projet'!$I$48
+'E1_Données de projet'!$D$49*(AD41-1='E1_Données de projet'!$I$49)*(1+Eing_allg_Teuerung/100)^'E1_Données de projet'!$I$49
+'E1_Données de projet'!$D$50*(AD41-1='E1_Données de projet'!$I$50)*(1+Eing_allg_Teuerung/100)^'E1_Données de projet'!$I$50
+'E1_Données de projet'!$D$51*(AD41-1='E1_Données de projet'!$I$51)*(1+Eing_allg_Teuerung/100)^'E1_Données de projet'!$I$51
+'E1_Données de projet'!$D$52*(AD41-1='E1_Données de projet'!$I$52)*(1+Eing_allg_Teuerung/100)^'E1_Données de projet'!$I$52
+'E1_Données de projet'!$D$53*(AD41-1='E1_Données de projet'!$I$53)*(1+Eing_allg_Teuerung/100)^'E1_Données de projet'!$I$53
+(Gesamtinvestition-SUM('E1_Données de projet'!$D$54:$D$55))*SUMPRODUCT(('E1_Données de projet'!$D$58:$D$60=B41)*'E1_Données de projet'!$F$58:$F$60)/100+AF40-N41</f>
        <v>1244666.666666667</v>
      </c>
      <c r="AG41" s="149">
        <f>IF(ISNUMBER(IRR((AJ$36:AJ40,AI41))),IRR((AJ$36:AJ40,AI41)),"-")</f>
        <v>8.3880442014316881E-2</v>
      </c>
      <c r="AH41" s="150">
        <f t="shared" si="9"/>
        <v>2027</v>
      </c>
      <c r="AI41" s="151">
        <f t="shared" si="19"/>
        <v>1326332.019063873</v>
      </c>
      <c r="AJ41" s="151">
        <f t="shared" si="16"/>
        <v>81665.352397205948</v>
      </c>
    </row>
    <row r="42" spans="1:36" ht="12.95" customHeight="1" x14ac:dyDescent="0.2">
      <c r="B42" s="133">
        <f t="shared" si="17"/>
        <v>2028</v>
      </c>
      <c r="C42" s="134">
        <f>(SUMPRODUCT((E3_Consommateurs!$D$21:$XFD$21&lt;B1_Calculs!B42)*E3_Consommateurs!$D$18:$XFD$18)+SUMPRODUCT((E3_Consommateurs!$D$21:$XFD$21=B1_Calculs!B42)*E3_Consommateurs!$D$18:$XFD$18*E3_Consommateurs!$D$20:$XFD$20))/(100-Eing_Netzverluste)*100*(1-'E1_Données de projet'!$D$19/100)^(B1_Calculs!B42-'E1_Données de projet'!$D$22)</f>
        <v>1995.905043</v>
      </c>
      <c r="D42" s="135">
        <f t="shared" si="1"/>
        <v>96.059601000000001</v>
      </c>
      <c r="E42" s="136">
        <f t="shared" si="2"/>
        <v>99048.917470583168</v>
      </c>
      <c r="F42" s="137">
        <f t="shared" si="3"/>
        <v>31780.40132745984</v>
      </c>
      <c r="G42" s="137">
        <f t="shared" si="4"/>
        <v>6356.0802654919662</v>
      </c>
      <c r="H42" s="137">
        <f>($F$19*(1+$G$19)^(B42-B$36)+$F$20*(1+$G$20)^(B42-B$36))*(B42&gt;='E1_Données de projet'!$D$22)*VLOOKUP(B42,'E1_Données de projet'!$D$58:$I$60,6)/100</f>
        <v>19107.362710818001</v>
      </c>
      <c r="I42" s="137">
        <f>$F$21*(1+$G$21)^(B42-B$36)*(B42&gt;='E1_Données de projet'!$D$22)*VLOOKUP(B42,'E1_Données de projet'!$D$58:$I$60,6)/100</f>
        <v>25370.331599363904</v>
      </c>
      <c r="J42" s="137">
        <f t="shared" si="10"/>
        <v>18470.450620457403</v>
      </c>
      <c r="K42" s="138"/>
      <c r="L42" s="139"/>
      <c r="M42" s="134">
        <f t="shared" si="5"/>
        <v>15000</v>
      </c>
      <c r="N42" s="137">
        <f>+('E1_Données de projet'!$D$48*(1+Eing_allg_Teuerung/100)^('E1_Données de projet'!$I$48*ROUNDDOWN((AD42-1)/'E1_Données de projet'!$I$48,0))/'E1_Données de projet'!$I$48
+'E1_Données de projet'!$D$49*(1+Eing_allg_Teuerung/100)^('E1_Données de projet'!$I$49*ROUNDDOWN((AD42-1)/'E1_Données de projet'!$I$49,0))/'E1_Données de projet'!$I$49
+'E1_Données de projet'!$D$50*(1+Eing_allg_Teuerung/100)^('E1_Données de projet'!$I$50*ROUNDDOWN((AD42-1)/'E1_Données de projet'!$I$50,0))/'E1_Données de projet'!$I$50
+'E1_Données de projet'!$D$51*(1+Eing_allg_Teuerung/100)^('E1_Données de projet'!$I$51*ROUNDDOWN((AD42-1)/'E1_Données de projet'!$I$51,0))/'E1_Données de projet'!$I$51
+'E1_Données de projet'!$D$52*(1+Eing_allg_Teuerung/100)^('E1_Données de projet'!$I$52*ROUNDDOWN((AD42-1)/'E1_Données de projet'!$I$52,0))/'E1_Données de projet'!$I$52
+'E1_Données de projet'!$D$53*(1+Eing_allg_Teuerung/100)^('E1_Données de projet'!$I$53*ROUNDDOWN((AD42-1)/'E1_Données de projet'!$I$53,0))/'E1_Données de projet'!$I$53
)*((AD42)&gt;0)*VLOOKUP(B42,'E1_Données de projet'!$D$58:$I$60,6
)/100</f>
        <v>43833.333333333343</v>
      </c>
      <c r="O42" s="140">
        <f t="shared" si="11"/>
        <v>258966.87732750765</v>
      </c>
      <c r="P42" s="136">
        <f>SUM((SUMPRODUCT((E3_Consommateurs!$D$21:$XFD$21&lt;B1_Calculs!B42)*E3_Consommateurs!$D$25:$XFD$25)+SUMPRODUCT((E3_Consommateurs!$D$21:$XFD$21=B1_Calculs!B42)*E3_Consommateurs!$D$25:$XFD$25*E3_Consommateurs!$D$20:$XFD$20))*(1+$G$24)^(B42-B$36),(SUMPRODUCT((E3_Consommateurs!$D$21:$XFD$21&lt;B1_Calculs!B42)*E3_Consommateurs!$D$26:$XFD$26)+SUMPRODUCT((E3_Consommateurs!$D$21:$XFD$21=B1_Calculs!B42)*E3_Consommateurs!$D$26:$XFD$26*E3_Consommateurs!$D$20:$XFD$20))*((1+$G$24)*(1-'E1_Données de projet'!$D$19/100))^(B42-B$36))</f>
        <v>288846.83851148636</v>
      </c>
      <c r="Q42" s="137">
        <f>SUMPRODUCT((E3_Consommateurs!$D$21:$XFD$21=B1_Calculs!B42)*E3_Consommateurs!$D$23:$XFD$23)</f>
        <v>0</v>
      </c>
      <c r="R42" s="261">
        <f>SUM(jährlicher_Förderbeitrag*(B42-Erstauszahlung_jährlFörderung&lt;=Eing_Förderung_wiederholend_Laufzeit-1)*(B42&gt;='E1_Données de projet'!$D$83),'E1_Données de projet'!$D$76*(B42='E1_Données de projet'!$D$77),'E1_Données de projet'!$D$78*(B42='E1_Données de projet'!$D$79))</f>
        <v>10000</v>
      </c>
      <c r="S42" s="138"/>
      <c r="T42" s="141"/>
      <c r="U42" s="140">
        <f t="shared" si="12"/>
        <v>298846.83851148636</v>
      </c>
      <c r="V42" s="142">
        <f t="shared" si="13"/>
        <v>39879.96118397871</v>
      </c>
      <c r="W42" s="140">
        <f t="shared" si="18"/>
        <v>710261.35544348683</v>
      </c>
      <c r="X42" s="137">
        <f>'E1_Données de projet'!$D$48*(AD42-1='E1_Données de projet'!$I$48)*(1+Eing_allg_Teuerung/100)^'E1_Données de projet'!$I$48
+'E1_Données de projet'!$D$49*(AD42-1='E1_Données de projet'!$I$49)*(1+Eing_allg_Teuerung/100)^'E1_Données de projet'!$I$49
+'E1_Données de projet'!$D$50*(AD42-1='E1_Données de projet'!$I$50)*(1+Eing_allg_Teuerung/100)^'E1_Données de projet'!$I$50
+'E1_Données de projet'!$D$51*(AD42-1='E1_Données de projet'!$I$51)*(1+Eing_allg_Teuerung/100)^'E1_Données de projet'!$I$51
+'E1_Données de projet'!$D$52*(AD42-1='E1_Données de projet'!$I$52)*(1+Eing_allg_Teuerung/100)^'E1_Données de projet'!$I$52
+'E1_Données de projet'!$D$53*(AD42-1='E1_Données de projet'!$I$53)*(1+Eing_allg_Teuerung/100)^'E1_Données de projet'!$I$53
+Gesamtinvestition*SUMPRODUCT(('E1_Données de projet'!$D$58:$D$60=B42)*'E1_Données de projet'!$F$58:$F$60)/100</f>
        <v>0</v>
      </c>
      <c r="Y42" s="143">
        <f t="shared" si="6"/>
        <v>0</v>
      </c>
      <c r="Z42" s="134">
        <f t="shared" si="7"/>
        <v>66666.666666666672</v>
      </c>
      <c r="AA42" s="136">
        <f t="shared" si="14"/>
        <v>17046.627850645382</v>
      </c>
      <c r="AB42" s="144">
        <f t="shared" si="15"/>
        <v>-105571.97788984649</v>
      </c>
      <c r="AC42" s="145"/>
      <c r="AD42" s="146">
        <f>MAX(B1_Calculs!B42+1-'E1_Données de projet'!$D$22,0)</f>
        <v>5</v>
      </c>
      <c r="AE42" s="147">
        <f t="shared" si="8"/>
        <v>-600000</v>
      </c>
      <c r="AF42" s="148">
        <f>'E1_Données de projet'!$D$48*(AD42-1='E1_Données de projet'!$I$48)*(1+Eing_allg_Teuerung/100)^'E1_Données de projet'!$I$48
+'E1_Données de projet'!$D$49*(AD42-1='E1_Données de projet'!$I$49)*(1+Eing_allg_Teuerung/100)^'E1_Données de projet'!$I$49
+'E1_Données de projet'!$D$50*(AD42-1='E1_Données de projet'!$I$50)*(1+Eing_allg_Teuerung/100)^'E1_Données de projet'!$I$50
+'E1_Données de projet'!$D$51*(AD42-1='E1_Données de projet'!$I$51)*(1+Eing_allg_Teuerung/100)^'E1_Données de projet'!$I$51
+'E1_Données de projet'!$D$52*(AD42-1='E1_Données de projet'!$I$52)*(1+Eing_allg_Teuerung/100)^'E1_Données de projet'!$I$52
+'E1_Données de projet'!$D$53*(AD42-1='E1_Données de projet'!$I$53)*(1+Eing_allg_Teuerung/100)^'E1_Données de projet'!$I$53
+(Gesamtinvestition-SUM('E1_Données de projet'!$D$54:$D$55))*SUMPRODUCT(('E1_Données de projet'!$D$58:$D$60=B42)*'E1_Données de projet'!$F$58:$F$60)/100+AF41-N42</f>
        <v>1200833.3333333337</v>
      </c>
      <c r="AG42" s="149">
        <f>IF(ISNUMBER(IRR((AJ$36:AJ41,AI42))),IRR((AJ$36:AJ41,AI42)),"-")</f>
        <v>7.5656499199372229E-2</v>
      </c>
      <c r="AH42" s="150">
        <f t="shared" si="9"/>
        <v>2028</v>
      </c>
      <c r="AI42" s="151">
        <f t="shared" si="19"/>
        <v>1284546.6278506457</v>
      </c>
      <c r="AJ42" s="151">
        <f t="shared" si="16"/>
        <v>83713.294517312053</v>
      </c>
    </row>
    <row r="43" spans="1:36" ht="12.95" customHeight="1" x14ac:dyDescent="0.2">
      <c r="B43" s="133">
        <f t="shared" si="17"/>
        <v>2029</v>
      </c>
      <c r="C43" s="134">
        <f>(SUMPRODUCT((E3_Consommateurs!$D$21:$XFD$21&lt;B1_Calculs!B43)*E3_Consommateurs!$D$18:$XFD$18)+SUMPRODUCT((E3_Consommateurs!$D$21:$XFD$21=B1_Calculs!B43)*E3_Consommateurs!$D$18:$XFD$18*E3_Consommateurs!$D$20:$XFD$20))/(100-Eing_Netzverluste)*100*(1-'E1_Données de projet'!$D$19/100)^(B1_Calculs!B43-'E1_Données de projet'!$D$22)</f>
        <v>1975.9459925699998</v>
      </c>
      <c r="D43" s="135">
        <f t="shared" si="1"/>
        <v>95.099004989999997</v>
      </c>
      <c r="E43" s="136">
        <f t="shared" si="2"/>
        <v>99039.012578836075</v>
      </c>
      <c r="F43" s="137">
        <f t="shared" si="3"/>
        <v>31777.22328732708</v>
      </c>
      <c r="G43" s="137">
        <f t="shared" si="4"/>
        <v>6355.4446574654148</v>
      </c>
      <c r="H43" s="137">
        <f>($F$19*(1+$G$19)^(B43-B$36)+$F$20*(1+$G$20)^(B43-B$36))*(B43&gt;='E1_Données de projet'!$D$22)*VLOOKUP(B43,'E1_Données de projet'!$D$58:$I$60,6)/100</f>
        <v>19298.436337926178</v>
      </c>
      <c r="I43" s="137">
        <f>$F$21*(1+$G$21)^(B43-B$36)*(B43&gt;='E1_Données de projet'!$D$22)*VLOOKUP(B43,'E1_Données de projet'!$D$58:$I$60,6)/100</f>
        <v>25624.034915357533</v>
      </c>
      <c r="J43" s="137">
        <f t="shared" si="10"/>
        <v>18655.155126661968</v>
      </c>
      <c r="K43" s="138"/>
      <c r="L43" s="139"/>
      <c r="M43" s="134">
        <f t="shared" si="5"/>
        <v>13333.33333333333</v>
      </c>
      <c r="N43" s="137">
        <f>+('E1_Données de projet'!$D$48*(1+Eing_allg_Teuerung/100)^('E1_Données de projet'!$I$48*ROUNDDOWN((AD43-1)/'E1_Données de projet'!$I$48,0))/'E1_Données de projet'!$I$48
+'E1_Données de projet'!$D$49*(1+Eing_allg_Teuerung/100)^('E1_Données de projet'!$I$49*ROUNDDOWN((AD43-1)/'E1_Données de projet'!$I$49,0))/'E1_Données de projet'!$I$49
+'E1_Données de projet'!$D$50*(1+Eing_allg_Teuerung/100)^('E1_Données de projet'!$I$50*ROUNDDOWN((AD43-1)/'E1_Données de projet'!$I$50,0))/'E1_Données de projet'!$I$50
+'E1_Données de projet'!$D$51*(1+Eing_allg_Teuerung/100)^('E1_Données de projet'!$I$51*ROUNDDOWN((AD43-1)/'E1_Données de projet'!$I$51,0))/'E1_Données de projet'!$I$51
+'E1_Données de projet'!$D$52*(1+Eing_allg_Teuerung/100)^('E1_Données de projet'!$I$52*ROUNDDOWN((AD43-1)/'E1_Données de projet'!$I$52,0))/'E1_Données de projet'!$I$52
+'E1_Données de projet'!$D$53*(1+Eing_allg_Teuerung/100)^('E1_Données de projet'!$I$53*ROUNDDOWN((AD43-1)/'E1_Données de projet'!$I$53,0))/'E1_Données de projet'!$I$53
)*((AD43)&gt;0)*VLOOKUP(B43,'E1_Données de projet'!$D$58:$I$60,6
)/100</f>
        <v>43833.333333333343</v>
      </c>
      <c r="O43" s="140">
        <f t="shared" si="11"/>
        <v>257915.97357024092</v>
      </c>
      <c r="P43" s="136">
        <f>SUM((SUMPRODUCT((E3_Consommateurs!$D$21:$XFD$21&lt;B1_Calculs!B43)*E3_Consommateurs!$D$25:$XFD$25)+SUMPRODUCT((E3_Consommateurs!$D$21:$XFD$21=B1_Calculs!B43)*E3_Consommateurs!$D$25:$XFD$25*E3_Consommateurs!$D$20:$XFD$20))*(1+$G$24)^(B43-B$36),(SUMPRODUCT((E3_Consommateurs!$D$21:$XFD$21&lt;B1_Calculs!B43)*E3_Consommateurs!$D$26:$XFD$26)+SUMPRODUCT((E3_Consommateurs!$D$21:$XFD$21=B1_Calculs!B43)*E3_Consommateurs!$D$26:$XFD$26*E3_Consommateurs!$D$20:$XFD$20))*((1+$G$24)*(1-'E1_Données de projet'!$D$19/100))^(B43-B$36))</f>
        <v>289847.739833334</v>
      </c>
      <c r="Q43" s="137">
        <f>SUMPRODUCT((E3_Consommateurs!$D$21:$XFD$21=B1_Calculs!B43)*E3_Consommateurs!$D$23:$XFD$23)</f>
        <v>0</v>
      </c>
      <c r="R43" s="261">
        <f>SUM(jährlicher_Förderbeitrag*(B43-Erstauszahlung_jährlFörderung&lt;=Eing_Förderung_wiederholend_Laufzeit-1)*(B43&gt;='E1_Données de projet'!$D$83),'E1_Données de projet'!$D$76*(B43='E1_Données de projet'!$D$77),'E1_Données de projet'!$D$78*(B43='E1_Données de projet'!$D$79))</f>
        <v>10000</v>
      </c>
      <c r="S43" s="138"/>
      <c r="T43" s="141"/>
      <c r="U43" s="140">
        <f t="shared" si="12"/>
        <v>299847.739833334</v>
      </c>
      <c r="V43" s="142">
        <f t="shared" si="13"/>
        <v>41931.766263093072</v>
      </c>
      <c r="W43" s="140">
        <f t="shared" si="18"/>
        <v>752193.12170657993</v>
      </c>
      <c r="X43" s="137">
        <f>'E1_Données de projet'!$D$48*(AD43-1='E1_Données de projet'!$I$48)*(1+Eing_allg_Teuerung/100)^'E1_Données de projet'!$I$48
+'E1_Données de projet'!$D$49*(AD43-1='E1_Données de projet'!$I$49)*(1+Eing_allg_Teuerung/100)^'E1_Données de projet'!$I$49
+'E1_Données de projet'!$D$50*(AD43-1='E1_Données de projet'!$I$50)*(1+Eing_allg_Teuerung/100)^'E1_Données de projet'!$I$50
+'E1_Données de projet'!$D$51*(AD43-1='E1_Données de projet'!$I$51)*(1+Eing_allg_Teuerung/100)^'E1_Données de projet'!$I$51
+'E1_Données de projet'!$D$52*(AD43-1='E1_Données de projet'!$I$52)*(1+Eing_allg_Teuerung/100)^'E1_Données de projet'!$I$52
+'E1_Données de projet'!$D$53*(AD43-1='E1_Données de projet'!$I$53)*(1+Eing_allg_Teuerung/100)^'E1_Données de projet'!$I$53
+Gesamtinvestition*SUMPRODUCT(('E1_Données de projet'!$D$58:$D$60=B43)*'E1_Données de projet'!$F$58:$F$60)/100</f>
        <v>0</v>
      </c>
      <c r="Y43" s="143">
        <f t="shared" si="6"/>
        <v>0</v>
      </c>
      <c r="Z43" s="134">
        <f t="shared" si="7"/>
        <v>66666.666666666672</v>
      </c>
      <c r="AA43" s="136">
        <f t="shared" si="14"/>
        <v>19098.432929759743</v>
      </c>
      <c r="AB43" s="144">
        <f t="shared" si="15"/>
        <v>-86473.544960086743</v>
      </c>
      <c r="AC43" s="145"/>
      <c r="AD43" s="146">
        <f>MAX(B1_Calculs!B43+1-'E1_Données de projet'!$D$22,0)</f>
        <v>6</v>
      </c>
      <c r="AE43" s="147">
        <f t="shared" si="8"/>
        <v>-533333.33333333326</v>
      </c>
      <c r="AF43" s="148">
        <f>'E1_Données de projet'!$D$48*(AD43-1='E1_Données de projet'!$I$48)*(1+Eing_allg_Teuerung/100)^'E1_Données de projet'!$I$48
+'E1_Données de projet'!$D$49*(AD43-1='E1_Données de projet'!$I$49)*(1+Eing_allg_Teuerung/100)^'E1_Données de projet'!$I$49
+'E1_Données de projet'!$D$50*(AD43-1='E1_Données de projet'!$I$50)*(1+Eing_allg_Teuerung/100)^'E1_Données de projet'!$I$50
+'E1_Données de projet'!$D$51*(AD43-1='E1_Données de projet'!$I$51)*(1+Eing_allg_Teuerung/100)^'E1_Données de projet'!$I$51
+'E1_Données de projet'!$D$52*(AD43-1='E1_Données de projet'!$I$52)*(1+Eing_allg_Teuerung/100)^'E1_Données de projet'!$I$52
+'E1_Données de projet'!$D$53*(AD43-1='E1_Données de projet'!$I$53)*(1+Eing_allg_Teuerung/100)^'E1_Données de projet'!$I$53
+(Gesamtinvestition-SUM('E1_Données de projet'!$D$54:$D$55))*SUMPRODUCT(('E1_Données de projet'!$D$58:$D$60=B43)*'E1_Données de projet'!$F$58:$F$60)/100+AF42-N43</f>
        <v>1157000.0000000005</v>
      </c>
      <c r="AG43" s="149">
        <f>IF(ISNUMBER(IRR((AJ$36:AJ42,AI43))),IRR((AJ$36:AJ42,AI43)),"-")</f>
        <v>7.0429536777427693E-2</v>
      </c>
      <c r="AH43" s="150">
        <f t="shared" si="9"/>
        <v>2029</v>
      </c>
      <c r="AI43" s="151">
        <f t="shared" si="19"/>
        <v>1242765.0995964268</v>
      </c>
      <c r="AJ43" s="151">
        <f t="shared" si="16"/>
        <v>85765.099596426415</v>
      </c>
    </row>
    <row r="44" spans="1:36" ht="12.95" customHeight="1" x14ac:dyDescent="0.2">
      <c r="B44" s="133">
        <f t="shared" si="17"/>
        <v>2030</v>
      </c>
      <c r="C44" s="134">
        <f>(SUMPRODUCT((E3_Consommateurs!$D$21:$XFD$21&lt;B1_Calculs!B44)*E3_Consommateurs!$D$18:$XFD$18)+SUMPRODUCT((E3_Consommateurs!$D$21:$XFD$21=B1_Calculs!B44)*E3_Consommateurs!$D$18:$XFD$18*E3_Consommateurs!$D$20:$XFD$20))/(100-Eing_Netzverluste)*100*(1-'E1_Données de projet'!$D$19/100)^(B1_Calculs!B44-'E1_Données de projet'!$D$22)</f>
        <v>1956.1865326442999</v>
      </c>
      <c r="D44" s="135">
        <f t="shared" si="1"/>
        <v>94.148014940099984</v>
      </c>
      <c r="E44" s="136">
        <f t="shared" si="2"/>
        <v>99029.108677578202</v>
      </c>
      <c r="F44" s="137">
        <f t="shared" si="3"/>
        <v>31774.045564998352</v>
      </c>
      <c r="G44" s="137">
        <f t="shared" si="4"/>
        <v>6354.809112999671</v>
      </c>
      <c r="H44" s="137">
        <f>($F$19*(1+$G$19)^(B44-B$36)+$F$20*(1+$G$20)^(B44-B$36))*(B44&gt;='E1_Données de projet'!$D$22)*VLOOKUP(B44,'E1_Données de projet'!$D$58:$I$60,6)/100</f>
        <v>19491.420701305444</v>
      </c>
      <c r="I44" s="137">
        <f>$F$21*(1+$G$21)^(B44-B$36)*(B44&gt;='E1_Données de projet'!$D$22)*VLOOKUP(B44,'E1_Données de projet'!$D$58:$I$60,6)/100</f>
        <v>25880.275264511118</v>
      </c>
      <c r="J44" s="137">
        <f t="shared" si="10"/>
        <v>18841.706677928596</v>
      </c>
      <c r="K44" s="138"/>
      <c r="L44" s="139"/>
      <c r="M44" s="134">
        <f t="shared" si="5"/>
        <v>16466.666666666664</v>
      </c>
      <c r="N44" s="137">
        <f>+('E1_Données de projet'!$D$48*(1+Eing_allg_Teuerung/100)^('E1_Données de projet'!$I$48*ROUNDDOWN((AD44-1)/'E1_Données de projet'!$I$48,0))/'E1_Données de projet'!$I$48
+'E1_Données de projet'!$D$49*(1+Eing_allg_Teuerung/100)^('E1_Données de projet'!$I$49*ROUNDDOWN((AD44-1)/'E1_Données de projet'!$I$49,0))/'E1_Données de projet'!$I$49
+'E1_Données de projet'!$D$50*(1+Eing_allg_Teuerung/100)^('E1_Données de projet'!$I$50*ROUNDDOWN((AD44-1)/'E1_Données de projet'!$I$50,0))/'E1_Données de projet'!$I$50
+'E1_Données de projet'!$D$51*(1+Eing_allg_Teuerung/100)^('E1_Données de projet'!$I$51*ROUNDDOWN((AD44-1)/'E1_Données de projet'!$I$51,0))/'E1_Données de projet'!$I$51
+'E1_Données de projet'!$D$52*(1+Eing_allg_Teuerung/100)^('E1_Données de projet'!$I$52*ROUNDDOWN((AD44-1)/'E1_Données de projet'!$I$52,0))/'E1_Données de projet'!$I$52
+'E1_Données de projet'!$D$53*(1+Eing_allg_Teuerung/100)^('E1_Données de projet'!$I$53*ROUNDDOWN((AD44-1)/'E1_Données de projet'!$I$53,0))/'E1_Données de projet'!$I$53
)*((AD44)&gt;0)*VLOOKUP(B44,'E1_Données de projet'!$D$58:$I$60,6
)/100</f>
        <v>43833.333333333343</v>
      </c>
      <c r="O44" s="140">
        <f t="shared" si="11"/>
        <v>261671.36599932137</v>
      </c>
      <c r="P44" s="136">
        <f>SUM((SUMPRODUCT((E3_Consommateurs!$D$21:$XFD$21&lt;B1_Calculs!B44)*E3_Consommateurs!$D$25:$XFD$25)+SUMPRODUCT((E3_Consommateurs!$D$21:$XFD$21=B1_Calculs!B44)*E3_Consommateurs!$D$25:$XFD$25*E3_Consommateurs!$D$20:$XFD$20))*(1+$G$24)^(B44-B$36),(SUMPRODUCT((E3_Consommateurs!$D$21:$XFD$21&lt;B1_Calculs!B44)*E3_Consommateurs!$D$26:$XFD$26)+SUMPRODUCT((E3_Consommateurs!$D$21:$XFD$21=B1_Calculs!B44)*E3_Consommateurs!$D$26:$XFD$26*E3_Consommateurs!$D$20:$XFD$20))*((1+$G$24)*(1-'E1_Données de projet'!$D$19/100))^(B44-B$36))</f>
        <v>290858.83892510645</v>
      </c>
      <c r="Q44" s="137">
        <f>SUMPRODUCT((E3_Consommateurs!$D$21:$XFD$21=B1_Calculs!B44)*E3_Consommateurs!$D$23:$XFD$23)</f>
        <v>0</v>
      </c>
      <c r="R44" s="261">
        <f>SUM(jährlicher_Förderbeitrag*(B44-Erstauszahlung_jährlFörderung&lt;=Eing_Förderung_wiederholend_Laufzeit-1)*(B44&gt;='E1_Données de projet'!$D$83),'E1_Données de projet'!$D$76*(B44='E1_Données de projet'!$D$77),'E1_Données de projet'!$D$78*(B44='E1_Données de projet'!$D$79))</f>
        <v>10000</v>
      </c>
      <c r="S44" s="138"/>
      <c r="T44" s="141"/>
      <c r="U44" s="140">
        <f t="shared" si="12"/>
        <v>300858.83892510645</v>
      </c>
      <c r="V44" s="142">
        <f t="shared" si="13"/>
        <v>39187.472925785085</v>
      </c>
      <c r="W44" s="140">
        <f t="shared" si="18"/>
        <v>791380.59463236504</v>
      </c>
      <c r="X44" s="137">
        <f>'E1_Données de projet'!$D$48*(AD44-1='E1_Données de projet'!$I$48)*(1+Eing_allg_Teuerung/100)^'E1_Données de projet'!$I$48
+'E1_Données de projet'!$D$49*(AD44-1='E1_Données de projet'!$I$49)*(1+Eing_allg_Teuerung/100)^'E1_Données de projet'!$I$49
+'E1_Données de projet'!$D$50*(AD44-1='E1_Données de projet'!$I$50)*(1+Eing_allg_Teuerung/100)^'E1_Données de projet'!$I$50
+'E1_Données de projet'!$D$51*(AD44-1='E1_Données de projet'!$I$51)*(1+Eing_allg_Teuerung/100)^'E1_Données de projet'!$I$51
+'E1_Données de projet'!$D$52*(AD44-1='E1_Données de projet'!$I$52)*(1+Eing_allg_Teuerung/100)^'E1_Données de projet'!$I$52
+'E1_Données de projet'!$D$53*(AD44-1='E1_Données de projet'!$I$53)*(1+Eing_allg_Teuerung/100)^'E1_Données de projet'!$I$53
+Gesamtinvestition*SUMPRODUCT(('E1_Données de projet'!$D$58:$D$60=B44)*'E1_Données de projet'!$F$58:$F$60)/100</f>
        <v>0</v>
      </c>
      <c r="Y44" s="143">
        <f t="shared" si="6"/>
        <v>120000</v>
      </c>
      <c r="Z44" s="134">
        <f t="shared" si="7"/>
        <v>66666.666666666672</v>
      </c>
      <c r="AA44" s="136">
        <f t="shared" si="14"/>
        <v>136354.13959245174</v>
      </c>
      <c r="AB44" s="144">
        <f t="shared" si="15"/>
        <v>49880.594632364999</v>
      </c>
      <c r="AC44" s="145"/>
      <c r="AD44" s="146">
        <f>MAX(B1_Calculs!B44+1-'E1_Données de projet'!$D$22,0)</f>
        <v>7</v>
      </c>
      <c r="AE44" s="147">
        <f t="shared" si="8"/>
        <v>-586666.66666666663</v>
      </c>
      <c r="AF44" s="148">
        <f>'E1_Données de projet'!$D$48*(AD44-1='E1_Données de projet'!$I$48)*(1+Eing_allg_Teuerung/100)^'E1_Données de projet'!$I$48
+'E1_Données de projet'!$D$49*(AD44-1='E1_Données de projet'!$I$49)*(1+Eing_allg_Teuerung/100)^'E1_Données de projet'!$I$49
+'E1_Données de projet'!$D$50*(AD44-1='E1_Données de projet'!$I$50)*(1+Eing_allg_Teuerung/100)^'E1_Données de projet'!$I$50
+'E1_Données de projet'!$D$51*(AD44-1='E1_Données de projet'!$I$51)*(1+Eing_allg_Teuerung/100)^'E1_Données de projet'!$I$51
+'E1_Données de projet'!$D$52*(AD44-1='E1_Données de projet'!$I$52)*(1+Eing_allg_Teuerung/100)^'E1_Données de projet'!$I$52
+'E1_Données de projet'!$D$53*(AD44-1='E1_Données de projet'!$I$53)*(1+Eing_allg_Teuerung/100)^'E1_Données de projet'!$I$53
+(Gesamtinvestition-SUM('E1_Données de projet'!$D$54:$D$55))*SUMPRODUCT(('E1_Données de projet'!$D$58:$D$60=B44)*'E1_Données de projet'!$F$58:$F$60)/100+AF43-N44</f>
        <v>1113166.6666666672</v>
      </c>
      <c r="AG44" s="149">
        <f>IF(ISNUMBER(IRR((AJ$36:AJ43,AI44))),IRR((AJ$36:AJ43,AI44)),"-")</f>
        <v>6.6547080855730023E-2</v>
      </c>
      <c r="AH44" s="150">
        <f t="shared" si="9"/>
        <v>2030</v>
      </c>
      <c r="AI44" s="151">
        <f t="shared" si="19"/>
        <v>1196187.4729257857</v>
      </c>
      <c r="AJ44" s="151">
        <f t="shared" si="16"/>
        <v>83020.806259118428</v>
      </c>
    </row>
    <row r="45" spans="1:36" ht="12.95" customHeight="1" x14ac:dyDescent="0.2">
      <c r="B45" s="133">
        <f t="shared" si="17"/>
        <v>2031</v>
      </c>
      <c r="C45" s="134">
        <f>(SUMPRODUCT((E3_Consommateurs!$D$21:$XFD$21&lt;B1_Calculs!B45)*E3_Consommateurs!$D$18:$XFD$18)+SUMPRODUCT((E3_Consommateurs!$D$21:$XFD$21=B1_Calculs!B45)*E3_Consommateurs!$D$18:$XFD$18*E3_Consommateurs!$D$20:$XFD$20))/(100-Eing_Netzverluste)*100*(1-'E1_Données de projet'!$D$19/100)^(B1_Calculs!B45-'E1_Données de projet'!$D$22)</f>
        <v>1936.6246673178568</v>
      </c>
      <c r="D45" s="135">
        <f t="shared" si="1"/>
        <v>93.206534790698996</v>
      </c>
      <c r="E45" s="136">
        <f t="shared" si="2"/>
        <v>99019.205766710467</v>
      </c>
      <c r="F45" s="137">
        <f t="shared" si="3"/>
        <v>31770.86816044186</v>
      </c>
      <c r="G45" s="137">
        <f t="shared" si="4"/>
        <v>6354.1736320883701</v>
      </c>
      <c r="H45" s="137">
        <f>($F$19*(1+$G$19)^(B45-B$36)+$F$20*(1+$G$20)^(B45-B$36))*(B45&gt;='E1_Données de projet'!$D$22)*VLOOKUP(B45,'E1_Données de projet'!$D$58:$I$60,6)/100</f>
        <v>19686.334908318502</v>
      </c>
      <c r="I45" s="137">
        <f>$F$21*(1+$G$21)^(B45-B$36)*(B45&gt;='E1_Données de projet'!$D$22)*VLOOKUP(B45,'E1_Données de projet'!$D$58:$I$60,6)/100</f>
        <v>26139.078017156233</v>
      </c>
      <c r="J45" s="137">
        <f t="shared" si="10"/>
        <v>19030.123744707882</v>
      </c>
      <c r="K45" s="138"/>
      <c r="L45" s="139"/>
      <c r="M45" s="134">
        <f t="shared" si="5"/>
        <v>13840</v>
      </c>
      <c r="N45" s="137">
        <f>+('E1_Données de projet'!$D$48*(1+Eing_allg_Teuerung/100)^('E1_Données de projet'!$I$48*ROUNDDOWN((AD45-1)/'E1_Données de projet'!$I$48,0))/'E1_Données de projet'!$I$48
+'E1_Données de projet'!$D$49*(1+Eing_allg_Teuerung/100)^('E1_Données de projet'!$I$49*ROUNDDOWN((AD45-1)/'E1_Données de projet'!$I$49,0))/'E1_Données de projet'!$I$49
+'E1_Données de projet'!$D$50*(1+Eing_allg_Teuerung/100)^('E1_Données de projet'!$I$50*ROUNDDOWN((AD45-1)/'E1_Données de projet'!$I$50,0))/'E1_Données de projet'!$I$50
+'E1_Données de projet'!$D$51*(1+Eing_allg_Teuerung/100)^('E1_Données de projet'!$I$51*ROUNDDOWN((AD45-1)/'E1_Données de projet'!$I$51,0))/'E1_Données de projet'!$I$51
+'E1_Données de projet'!$D$52*(1+Eing_allg_Teuerung/100)^('E1_Données de projet'!$I$52*ROUNDDOWN((AD45-1)/'E1_Données de projet'!$I$52,0))/'E1_Données de projet'!$I$52
+'E1_Données de projet'!$D$53*(1+Eing_allg_Teuerung/100)^('E1_Données de projet'!$I$53*ROUNDDOWN((AD45-1)/'E1_Données de projet'!$I$53,0))/'E1_Données de projet'!$I$53
)*((AD45)&gt;0)*VLOOKUP(B45,'E1_Données de projet'!$D$58:$I$60,6
)/100</f>
        <v>43833.333333333343</v>
      </c>
      <c r="O45" s="140">
        <f t="shared" si="11"/>
        <v>259673.11756275664</v>
      </c>
      <c r="P45" s="136">
        <f>SUM((SUMPRODUCT((E3_Consommateurs!$D$21:$XFD$21&lt;B1_Calculs!B45)*E3_Consommateurs!$D$25:$XFD$25)+SUMPRODUCT((E3_Consommateurs!$D$21:$XFD$21=B1_Calculs!B45)*E3_Consommateurs!$D$25:$XFD$25*E3_Consommateurs!$D$20:$XFD$20))*(1+$G$24)^(B45-B$36),(SUMPRODUCT((E3_Consommateurs!$D$21:$XFD$21&lt;B1_Calculs!B45)*E3_Consommateurs!$D$26:$XFD$26)+SUMPRODUCT((E3_Consommateurs!$D$21:$XFD$21=B1_Calculs!B45)*E3_Consommateurs!$D$26:$XFD$26*E3_Consommateurs!$D$20:$XFD$20))*((1+$G$24)*(1-'E1_Données de projet'!$D$19/100))^(B45-B$36))</f>
        <v>291880.2377456273</v>
      </c>
      <c r="Q45" s="137">
        <f>SUMPRODUCT((E3_Consommateurs!$D$21:$XFD$21=B1_Calculs!B45)*E3_Consommateurs!$D$23:$XFD$23)</f>
        <v>0</v>
      </c>
      <c r="R45" s="261">
        <f>SUM(jährlicher_Förderbeitrag*(B45-Erstauszahlung_jährlFörderung&lt;=Eing_Förderung_wiederholend_Laufzeit-1)*(B45&gt;='E1_Données de projet'!$D$83),'E1_Données de projet'!$D$76*(B45='E1_Données de projet'!$D$77),'E1_Données de projet'!$D$78*(B45='E1_Données de projet'!$D$79))</f>
        <v>10000</v>
      </c>
      <c r="S45" s="138"/>
      <c r="T45" s="141"/>
      <c r="U45" s="140">
        <f t="shared" si="12"/>
        <v>301880.2377456273</v>
      </c>
      <c r="V45" s="142">
        <f t="shared" si="13"/>
        <v>42207.120182870654</v>
      </c>
      <c r="W45" s="140">
        <f t="shared" si="18"/>
        <v>833587.7148152357</v>
      </c>
      <c r="X45" s="137">
        <f>'E1_Données de projet'!$D$48*(AD45-1='E1_Données de projet'!$I$48)*(1+Eing_allg_Teuerung/100)^'E1_Données de projet'!$I$48
+'E1_Données de projet'!$D$49*(AD45-1='E1_Données de projet'!$I$49)*(1+Eing_allg_Teuerung/100)^'E1_Données de projet'!$I$49
+'E1_Données de projet'!$D$50*(AD45-1='E1_Données de projet'!$I$50)*(1+Eing_allg_Teuerung/100)^'E1_Données de projet'!$I$50
+'E1_Données de projet'!$D$51*(AD45-1='E1_Données de projet'!$I$51)*(1+Eing_allg_Teuerung/100)^'E1_Données de projet'!$I$51
+'E1_Données de projet'!$D$52*(AD45-1='E1_Données de projet'!$I$52)*(1+Eing_allg_Teuerung/100)^'E1_Données de projet'!$I$52
+'E1_Données de projet'!$D$53*(AD45-1='E1_Données de projet'!$I$53)*(1+Eing_allg_Teuerung/100)^'E1_Données de projet'!$I$53
+Gesamtinvestition*SUMPRODUCT(('E1_Données de projet'!$D$58:$D$60=B45)*'E1_Données de projet'!$F$58:$F$60)/100</f>
        <v>0</v>
      </c>
      <c r="Y45" s="143">
        <f t="shared" si="6"/>
        <v>0</v>
      </c>
      <c r="Z45" s="134">
        <f t="shared" si="7"/>
        <v>90666.666666666672</v>
      </c>
      <c r="AA45" s="136">
        <f t="shared" si="14"/>
        <v>-4626.2131504626741</v>
      </c>
      <c r="AB45" s="144">
        <f t="shared" si="15"/>
        <v>45254.381481902325</v>
      </c>
      <c r="AC45" s="145"/>
      <c r="AD45" s="131">
        <f>MAX(B1_Calculs!B45+1-'E1_Données de projet'!$D$22,0)</f>
        <v>8</v>
      </c>
      <c r="AE45" s="147">
        <f t="shared" si="8"/>
        <v>-496000</v>
      </c>
      <c r="AF45" s="148">
        <f>'E1_Données de projet'!$D$48*(AD45-1='E1_Données de projet'!$I$48)*(1+Eing_allg_Teuerung/100)^'E1_Données de projet'!$I$48
+'E1_Données de projet'!$D$49*(AD45-1='E1_Données de projet'!$I$49)*(1+Eing_allg_Teuerung/100)^'E1_Données de projet'!$I$49
+'E1_Données de projet'!$D$50*(AD45-1='E1_Données de projet'!$I$50)*(1+Eing_allg_Teuerung/100)^'E1_Données de projet'!$I$50
+'E1_Données de projet'!$D$51*(AD45-1='E1_Données de projet'!$I$51)*(1+Eing_allg_Teuerung/100)^'E1_Données de projet'!$I$51
+'E1_Données de projet'!$D$52*(AD45-1='E1_Données de projet'!$I$52)*(1+Eing_allg_Teuerung/100)^'E1_Données de projet'!$I$52
+'E1_Données de projet'!$D$53*(AD45-1='E1_Données de projet'!$I$53)*(1+Eing_allg_Teuerung/100)^'E1_Données de projet'!$I$53
+(Gesamtinvestition-SUM('E1_Données de projet'!$D$54:$D$55))*SUMPRODUCT(('E1_Données de projet'!$D$58:$D$60=B45)*'E1_Données de projet'!$F$58:$F$60)/100+AF44-N45</f>
        <v>1069333.333333334</v>
      </c>
      <c r="AG45" s="149">
        <f>IF(ISNUMBER(IRR((AJ$36:AJ44,AI45))),IRR((AJ$36:AJ44,AI45)),"-")</f>
        <v>6.3989813902800341E-2</v>
      </c>
      <c r="AH45" s="150">
        <f t="shared" si="9"/>
        <v>2031</v>
      </c>
      <c r="AI45" s="151">
        <f t="shared" si="19"/>
        <v>1155373.7868495379</v>
      </c>
      <c r="AJ45" s="151">
        <f t="shared" si="16"/>
        <v>86040.453516203997</v>
      </c>
    </row>
    <row r="46" spans="1:36" ht="12.95" customHeight="1" x14ac:dyDescent="0.2">
      <c r="B46" s="133">
        <f t="shared" si="17"/>
        <v>2032</v>
      </c>
      <c r="C46" s="134">
        <f>(SUMPRODUCT((E3_Consommateurs!$D$21:$XFD$21&lt;B1_Calculs!B46)*E3_Consommateurs!$D$18:$XFD$18)+SUMPRODUCT((E3_Consommateurs!$D$21:$XFD$21=B1_Calculs!B46)*E3_Consommateurs!$D$18:$XFD$18*E3_Consommateurs!$D$20:$XFD$20))/(100-Eing_Netzverluste)*100*(1-'E1_Données de projet'!$D$19/100)^(B1_Calculs!B46-'E1_Données de projet'!$D$22)</f>
        <v>1917.2584206446782</v>
      </c>
      <c r="D46" s="135">
        <f t="shared" si="1"/>
        <v>92.274469442791997</v>
      </c>
      <c r="E46" s="136">
        <f t="shared" si="2"/>
        <v>99009.303846133786</v>
      </c>
      <c r="F46" s="137">
        <f t="shared" si="3"/>
        <v>31767.691073625811</v>
      </c>
      <c r="G46" s="137">
        <f t="shared" si="4"/>
        <v>6353.5382147251612</v>
      </c>
      <c r="H46" s="137">
        <f>($F$19*(1+$G$19)^(B46-B$36)+$F$20*(1+$G$20)^(B46-B$36))*(B46&gt;='E1_Données de projet'!$D$22)*VLOOKUP(B46,'E1_Données de projet'!$D$58:$I$60,6)/100</f>
        <v>19883.198257401684</v>
      </c>
      <c r="I46" s="137">
        <f>$F$21*(1+$G$21)^(B46-B$36)*(B46&gt;='E1_Données de projet'!$D$22)*VLOOKUP(B46,'E1_Données de projet'!$D$58:$I$60,6)/100</f>
        <v>26400.468797327791</v>
      </c>
      <c r="J46" s="137">
        <f t="shared" si="10"/>
        <v>19220.424982154964</v>
      </c>
      <c r="K46" s="138"/>
      <c r="L46" s="139"/>
      <c r="M46" s="134">
        <f t="shared" si="5"/>
        <v>11213.333333333332</v>
      </c>
      <c r="N46" s="137">
        <f>+('E1_Données de projet'!$D$48*(1+Eing_allg_Teuerung/100)^('E1_Données de projet'!$I$48*ROUNDDOWN((AD46-1)/'E1_Données de projet'!$I$48,0))/'E1_Données de projet'!$I$48
+'E1_Données de projet'!$D$49*(1+Eing_allg_Teuerung/100)^('E1_Données de projet'!$I$49*ROUNDDOWN((AD46-1)/'E1_Données de projet'!$I$49,0))/'E1_Données de projet'!$I$49
+'E1_Données de projet'!$D$50*(1+Eing_allg_Teuerung/100)^('E1_Données de projet'!$I$50*ROUNDDOWN((AD46-1)/'E1_Données de projet'!$I$50,0))/'E1_Données de projet'!$I$50
+'E1_Données de projet'!$D$51*(1+Eing_allg_Teuerung/100)^('E1_Données de projet'!$I$51*ROUNDDOWN((AD46-1)/'E1_Données de projet'!$I$51,0))/'E1_Données de projet'!$I$51
+'E1_Données de projet'!$D$52*(1+Eing_allg_Teuerung/100)^('E1_Données de projet'!$I$52*ROUNDDOWN((AD46-1)/'E1_Données de projet'!$I$52,0))/'E1_Données de projet'!$I$52
+'E1_Données de projet'!$D$53*(1+Eing_allg_Teuerung/100)^('E1_Données de projet'!$I$53*ROUNDDOWN((AD46-1)/'E1_Données de projet'!$I$53,0))/'E1_Données de projet'!$I$53
)*((AD46)&gt;0)*VLOOKUP(B46,'E1_Données de projet'!$D$58:$I$60,6
)/100</f>
        <v>43833.333333333343</v>
      </c>
      <c r="O46" s="140">
        <f t="shared" si="11"/>
        <v>257681.29183803586</v>
      </c>
      <c r="P46" s="136">
        <f>SUM((SUMPRODUCT((E3_Consommateurs!$D$21:$XFD$21&lt;B1_Calculs!B46)*E3_Consommateurs!$D$25:$XFD$25)+SUMPRODUCT((E3_Consommateurs!$D$21:$XFD$21=B1_Calculs!B46)*E3_Consommateurs!$D$25:$XFD$25*E3_Consommateurs!$D$20:$XFD$20))*(1+$G$24)^(B46-B$36),(SUMPRODUCT((E3_Consommateurs!$D$21:$XFD$21&lt;B1_Calculs!B46)*E3_Consommateurs!$D$26:$XFD$26)+SUMPRODUCT((E3_Consommateurs!$D$21:$XFD$21=B1_Calculs!B46)*E3_Consommateurs!$D$26:$XFD$26*E3_Consommateurs!$D$20:$XFD$20))*((1+$G$24)*(1-'E1_Données de projet'!$D$19/100))^(B46-B$36))</f>
        <v>292912.03927331022</v>
      </c>
      <c r="Q46" s="137">
        <f>SUMPRODUCT((E3_Consommateurs!$D$21:$XFD$21=B1_Calculs!B46)*E3_Consommateurs!$D$23:$XFD$23)</f>
        <v>0</v>
      </c>
      <c r="R46" s="261">
        <f>SUM(jährlicher_Förderbeitrag*(B46-Erstauszahlung_jährlFörderung&lt;=Eing_Förderung_wiederholend_Laufzeit-1)*(B46&gt;='E1_Données de projet'!$D$83),'E1_Données de projet'!$D$76*(B46='E1_Données de projet'!$D$77),'E1_Données de projet'!$D$78*(B46='E1_Données de projet'!$D$79))</f>
        <v>10000</v>
      </c>
      <c r="S46" s="138"/>
      <c r="T46" s="141"/>
      <c r="U46" s="140">
        <f t="shared" si="12"/>
        <v>302912.03927331022</v>
      </c>
      <c r="V46" s="142">
        <f t="shared" si="13"/>
        <v>45230.747435274359</v>
      </c>
      <c r="W46" s="140">
        <f t="shared" si="18"/>
        <v>878818.46225051</v>
      </c>
      <c r="X46" s="137">
        <f>'E1_Données de projet'!$D$48*(AD46-1='E1_Données de projet'!$I$48)*(1+Eing_allg_Teuerung/100)^'E1_Données de projet'!$I$48
+'E1_Données de projet'!$D$49*(AD46-1='E1_Données de projet'!$I$49)*(1+Eing_allg_Teuerung/100)^'E1_Données de projet'!$I$49
+'E1_Données de projet'!$D$50*(AD46-1='E1_Données de projet'!$I$50)*(1+Eing_allg_Teuerung/100)^'E1_Données de projet'!$I$50
+'E1_Données de projet'!$D$51*(AD46-1='E1_Données de projet'!$I$51)*(1+Eing_allg_Teuerung/100)^'E1_Données de projet'!$I$51
+'E1_Données de projet'!$D$52*(AD46-1='E1_Données de projet'!$I$52)*(1+Eing_allg_Teuerung/100)^'E1_Données de projet'!$I$52
+'E1_Données de projet'!$D$53*(AD46-1='E1_Données de projet'!$I$53)*(1+Eing_allg_Teuerung/100)^'E1_Données de projet'!$I$53
+Gesamtinvestition*SUMPRODUCT(('E1_Données de projet'!$D$58:$D$60=B46)*'E1_Données de projet'!$F$58:$F$60)/100</f>
        <v>0</v>
      </c>
      <c r="Y46" s="143">
        <f t="shared" si="6"/>
        <v>0</v>
      </c>
      <c r="Z46" s="134">
        <f t="shared" si="7"/>
        <v>90666.666666666672</v>
      </c>
      <c r="AA46" s="136">
        <f t="shared" si="14"/>
        <v>-1602.5858980589692</v>
      </c>
      <c r="AB46" s="144">
        <f t="shared" si="15"/>
        <v>43651.795583843355</v>
      </c>
      <c r="AC46" s="145"/>
      <c r="AD46" s="146">
        <f>MAX(B1_Calculs!B46+1-'E1_Données de projet'!$D$22,0)</f>
        <v>9</v>
      </c>
      <c r="AE46" s="147">
        <f t="shared" si="8"/>
        <v>-405333.33333333326</v>
      </c>
      <c r="AF46" s="148">
        <f>'E1_Données de projet'!$D$48*(AD46-1='E1_Données de projet'!$I$48)*(1+Eing_allg_Teuerung/100)^'E1_Données de projet'!$I$48
+'E1_Données de projet'!$D$49*(AD46-1='E1_Données de projet'!$I$49)*(1+Eing_allg_Teuerung/100)^'E1_Données de projet'!$I$49
+'E1_Données de projet'!$D$50*(AD46-1='E1_Données de projet'!$I$50)*(1+Eing_allg_Teuerung/100)^'E1_Données de projet'!$I$50
+'E1_Données de projet'!$D$51*(AD46-1='E1_Données de projet'!$I$51)*(1+Eing_allg_Teuerung/100)^'E1_Données de projet'!$I$51
+'E1_Données de projet'!$D$52*(AD46-1='E1_Données de projet'!$I$52)*(1+Eing_allg_Teuerung/100)^'E1_Données de projet'!$I$52
+'E1_Données de projet'!$D$53*(AD46-1='E1_Données de projet'!$I$53)*(1+Eing_allg_Teuerung/100)^'E1_Données de projet'!$I$53
+(Gesamtinvestition-SUM('E1_Données de projet'!$D$54:$D$55))*SUMPRODUCT(('E1_Données de projet'!$D$58:$D$60=B46)*'E1_Données de projet'!$F$58:$F$60)/100+AF45-N46</f>
        <v>1025500.0000000006</v>
      </c>
      <c r="AG46" s="149">
        <f>IF(ISNUMBER(IRR((AJ$36:AJ45,AI46))),IRR((AJ$36:AJ45,AI46)),"-")</f>
        <v>6.2344265962196443E-2</v>
      </c>
      <c r="AH46" s="150">
        <f t="shared" si="9"/>
        <v>2032</v>
      </c>
      <c r="AI46" s="151">
        <f t="shared" si="19"/>
        <v>1114564.0807686083</v>
      </c>
      <c r="AJ46" s="151">
        <f t="shared" si="16"/>
        <v>89064.080768607702</v>
      </c>
    </row>
    <row r="47" spans="1:36" ht="12.95" customHeight="1" x14ac:dyDescent="0.2">
      <c r="B47" s="133">
        <f t="shared" si="17"/>
        <v>2033</v>
      </c>
      <c r="C47" s="134">
        <f>(SUMPRODUCT((E3_Consommateurs!$D$21:$XFD$21&lt;B1_Calculs!B47)*E3_Consommateurs!$D$18:$XFD$18)+SUMPRODUCT((E3_Consommateurs!$D$21:$XFD$21=B1_Calculs!B47)*E3_Consommateurs!$D$18:$XFD$18*E3_Consommateurs!$D$20:$XFD$20))/(100-Eing_Netzverluste)*100*(1-'E1_Données de projet'!$D$19/100)^(B1_Calculs!B47-'E1_Données de projet'!$D$22)</f>
        <v>1898.0858364382314</v>
      </c>
      <c r="D47" s="135">
        <f t="shared" si="1"/>
        <v>91.351724748364077</v>
      </c>
      <c r="E47" s="136">
        <f t="shared" si="2"/>
        <v>98999.40291574916</v>
      </c>
      <c r="F47" s="137">
        <f t="shared" si="3"/>
        <v>31764.514304518441</v>
      </c>
      <c r="G47" s="137">
        <f t="shared" si="4"/>
        <v>6352.9028609036886</v>
      </c>
      <c r="H47" s="137">
        <f>($F$19*(1+$G$19)^(B47-B$36)+$F$20*(1+$G$20)^(B47-B$36))*(B47&gt;='E1_Données de projet'!$D$22)*VLOOKUP(B47,'E1_Données de projet'!$D$58:$I$60,6)/100</f>
        <v>20082.030239975698</v>
      </c>
      <c r="I47" s="137">
        <f>$F$21*(1+$G$21)^(B47-B$36)*(B47&gt;='E1_Données de projet'!$D$22)*VLOOKUP(B47,'E1_Données de projet'!$D$58:$I$60,6)/100</f>
        <v>26664.473485301067</v>
      </c>
      <c r="J47" s="137">
        <f t="shared" si="10"/>
        <v>19412.629231976509</v>
      </c>
      <c r="K47" s="138"/>
      <c r="L47" s="139"/>
      <c r="M47" s="134">
        <f t="shared" si="5"/>
        <v>8586.6666666666642</v>
      </c>
      <c r="N47" s="137">
        <f>+('E1_Données de projet'!$D$48*(1+Eing_allg_Teuerung/100)^('E1_Données de projet'!$I$48*ROUNDDOWN((AD47-1)/'E1_Données de projet'!$I$48,0))/'E1_Données de projet'!$I$48
+'E1_Données de projet'!$D$49*(1+Eing_allg_Teuerung/100)^('E1_Données de projet'!$I$49*ROUNDDOWN((AD47-1)/'E1_Données de projet'!$I$49,0))/'E1_Données de projet'!$I$49
+'E1_Données de projet'!$D$50*(1+Eing_allg_Teuerung/100)^('E1_Données de projet'!$I$50*ROUNDDOWN((AD47-1)/'E1_Données de projet'!$I$50,0))/'E1_Données de projet'!$I$50
+'E1_Données de projet'!$D$51*(1+Eing_allg_Teuerung/100)^('E1_Données de projet'!$I$51*ROUNDDOWN((AD47-1)/'E1_Données de projet'!$I$51,0))/'E1_Données de projet'!$I$51
+'E1_Données de projet'!$D$52*(1+Eing_allg_Teuerung/100)^('E1_Données de projet'!$I$52*ROUNDDOWN((AD47-1)/'E1_Données de projet'!$I$52,0))/'E1_Données de projet'!$I$52
+'E1_Données de projet'!$D$53*(1+Eing_allg_Teuerung/100)^('E1_Données de projet'!$I$53*ROUNDDOWN((AD47-1)/'E1_Données de projet'!$I$53,0))/'E1_Données de projet'!$I$53
)*((AD47)&gt;0)*VLOOKUP(B47,'E1_Données de projet'!$D$58:$I$60,6
)/100</f>
        <v>43833.333333333343</v>
      </c>
      <c r="O47" s="140">
        <f t="shared" si="11"/>
        <v>255695.95303842457</v>
      </c>
      <c r="P47" s="136">
        <f>SUM((SUMPRODUCT((E3_Consommateurs!$D$21:$XFD$21&lt;B1_Calculs!B47)*E3_Consommateurs!$D$25:$XFD$25)+SUMPRODUCT((E3_Consommateurs!$D$21:$XFD$21=B1_Calculs!B47)*E3_Consommateurs!$D$25:$XFD$25*E3_Consommateurs!$D$20:$XFD$20))*(1+$G$24)^(B47-B$36),(SUMPRODUCT((E3_Consommateurs!$D$21:$XFD$21&lt;B1_Calculs!B47)*E3_Consommateurs!$D$26:$XFD$26)+SUMPRODUCT((E3_Consommateurs!$D$21:$XFD$21=B1_Calculs!B47)*E3_Consommateurs!$D$26:$XFD$26*E3_Consommateurs!$D$20:$XFD$20))*((1+$G$24)*(1-'E1_Données de projet'!$D$19/100))^(B47-B$36))</f>
        <v>293954.34751635487</v>
      </c>
      <c r="Q47" s="137">
        <f>SUMPRODUCT((E3_Consommateurs!$D$21:$XFD$21=B1_Calculs!B47)*E3_Consommateurs!$D$23:$XFD$23)</f>
        <v>0</v>
      </c>
      <c r="R47" s="261">
        <f>SUM(jährlicher_Förderbeitrag*(B47-Erstauszahlung_jährlFörderung&lt;=Eing_Förderung_wiederholend_Laufzeit-1)*(B47&gt;='E1_Données de projet'!$D$83),'E1_Données de projet'!$D$76*(B47='E1_Données de projet'!$D$77),'E1_Données de projet'!$D$78*(B47='E1_Données de projet'!$D$79))</f>
        <v>10000</v>
      </c>
      <c r="S47" s="138"/>
      <c r="T47" s="141"/>
      <c r="U47" s="140">
        <f t="shared" si="12"/>
        <v>303954.34751635487</v>
      </c>
      <c r="V47" s="142">
        <f t="shared" si="13"/>
        <v>48258.394477930298</v>
      </c>
      <c r="W47" s="140">
        <f t="shared" si="18"/>
        <v>927076.85672844027</v>
      </c>
      <c r="X47" s="137">
        <f>'E1_Données de projet'!$D$48*(AD47-1='E1_Données de projet'!$I$48)*(1+Eing_allg_Teuerung/100)^'E1_Données de projet'!$I$48
+'E1_Données de projet'!$D$49*(AD47-1='E1_Données de projet'!$I$49)*(1+Eing_allg_Teuerung/100)^'E1_Données de projet'!$I$49
+'E1_Données de projet'!$D$50*(AD47-1='E1_Données de projet'!$I$50)*(1+Eing_allg_Teuerung/100)^'E1_Données de projet'!$I$50
+'E1_Données de projet'!$D$51*(AD47-1='E1_Données de projet'!$I$51)*(1+Eing_allg_Teuerung/100)^'E1_Données de projet'!$I$51
+'E1_Données de projet'!$D$52*(AD47-1='E1_Données de projet'!$I$52)*(1+Eing_allg_Teuerung/100)^'E1_Données de projet'!$I$52
+'E1_Données de projet'!$D$53*(AD47-1='E1_Données de projet'!$I$53)*(1+Eing_allg_Teuerung/100)^'E1_Données de projet'!$I$53
+Gesamtinvestition*SUMPRODUCT(('E1_Données de projet'!$D$58:$D$60=B47)*'E1_Données de projet'!$F$58:$F$60)/100</f>
        <v>0</v>
      </c>
      <c r="Y47" s="143">
        <f t="shared" si="6"/>
        <v>0</v>
      </c>
      <c r="Z47" s="134">
        <f t="shared" si="7"/>
        <v>90666.666666666672</v>
      </c>
      <c r="AA47" s="136">
        <f t="shared" si="14"/>
        <v>1425.0611445969698</v>
      </c>
      <c r="AB47" s="144">
        <f t="shared" si="15"/>
        <v>45076.856728440325</v>
      </c>
      <c r="AC47" s="145"/>
      <c r="AD47" s="146">
        <f>MAX(B1_Calculs!B47+1-'E1_Données de projet'!$D$22,0)</f>
        <v>10</v>
      </c>
      <c r="AE47" s="147">
        <f t="shared" si="8"/>
        <v>-314666.66666666663</v>
      </c>
      <c r="AF47" s="148">
        <f>'E1_Données de projet'!$D$48*(AD47-1='E1_Données de projet'!$I$48)*(1+Eing_allg_Teuerung/100)^'E1_Données de projet'!$I$48
+'E1_Données de projet'!$D$49*(AD47-1='E1_Données de projet'!$I$49)*(1+Eing_allg_Teuerung/100)^'E1_Données de projet'!$I$49
+'E1_Données de projet'!$D$50*(AD47-1='E1_Données de projet'!$I$50)*(1+Eing_allg_Teuerung/100)^'E1_Données de projet'!$I$50
+'E1_Données de projet'!$D$51*(AD47-1='E1_Données de projet'!$I$51)*(1+Eing_allg_Teuerung/100)^'E1_Données de projet'!$I$51
+'E1_Données de projet'!$D$52*(AD47-1='E1_Données de projet'!$I$52)*(1+Eing_allg_Teuerung/100)^'E1_Données de projet'!$I$52
+'E1_Données de projet'!$D$53*(AD47-1='E1_Données de projet'!$I$53)*(1+Eing_allg_Teuerung/100)^'E1_Données de projet'!$I$53
+(Gesamtinvestition-SUM('E1_Données de projet'!$D$54:$D$55))*SUMPRODUCT(('E1_Données de projet'!$D$58:$D$60=B47)*'E1_Données de projet'!$F$58:$F$60)/100+AF46-N47</f>
        <v>981666.66666666721</v>
      </c>
      <c r="AG47" s="149">
        <f>IF(ISNUMBER(IRR((AJ$36:AJ46,AI47))),IRR((AJ$36:AJ46,AI47)),"-")</f>
        <v>6.1352874384108746E-2</v>
      </c>
      <c r="AH47" s="150">
        <f t="shared" si="9"/>
        <v>2033</v>
      </c>
      <c r="AI47" s="151">
        <f t="shared" si="19"/>
        <v>1073758.3944779309</v>
      </c>
      <c r="AJ47" s="151">
        <f t="shared" si="16"/>
        <v>92091.727811263641</v>
      </c>
    </row>
    <row r="48" spans="1:36" ht="12.95" customHeight="1" x14ac:dyDescent="0.2">
      <c r="B48" s="133">
        <f t="shared" si="17"/>
        <v>2034</v>
      </c>
      <c r="C48" s="134">
        <f>(SUMPRODUCT((E3_Consommateurs!$D$21:$XFD$21&lt;B1_Calculs!B48)*E3_Consommateurs!$D$18:$XFD$18)+SUMPRODUCT((E3_Consommateurs!$D$21:$XFD$21=B1_Calculs!B48)*E3_Consommateurs!$D$18:$XFD$18*E3_Consommateurs!$D$20:$XFD$20))/(100-Eing_Netzverluste)*100*(1-'E1_Données de projet'!$D$19/100)^(B1_Calculs!B48-'E1_Données de projet'!$D$22)</f>
        <v>1879.104978073849</v>
      </c>
      <c r="D48" s="135">
        <f t="shared" si="1"/>
        <v>90.438207500880424</v>
      </c>
      <c r="E48" s="136">
        <f t="shared" si="2"/>
        <v>98989.502975457566</v>
      </c>
      <c r="F48" s="137">
        <f t="shared" si="3"/>
        <v>31761.337853087985</v>
      </c>
      <c r="G48" s="137">
        <f t="shared" si="4"/>
        <v>6352.2675706175978</v>
      </c>
      <c r="H48" s="137">
        <f>($F$19*(1+$G$19)^(B48-B$36)+$F$20*(1+$G$20)^(B48-B$36))*(B48&gt;='E1_Données de projet'!$D$22)*VLOOKUP(B48,'E1_Données de projet'!$D$58:$I$60,6)/100</f>
        <v>20282.850542375454</v>
      </c>
      <c r="I48" s="137">
        <f>$F$21*(1+$G$21)^(B48-B$36)*(B48&gt;='E1_Données de projet'!$D$22)*VLOOKUP(B48,'E1_Données de projet'!$D$58:$I$60,6)/100</f>
        <v>26931.118220154076</v>
      </c>
      <c r="J48" s="137">
        <f t="shared" si="10"/>
        <v>19606.755524296277</v>
      </c>
      <c r="K48" s="138"/>
      <c r="L48" s="139"/>
      <c r="M48" s="134">
        <f t="shared" si="5"/>
        <v>5960</v>
      </c>
      <c r="N48" s="137">
        <f>+('E1_Données de projet'!$D$48*(1+Eing_allg_Teuerung/100)^('E1_Données de projet'!$I$48*ROUNDDOWN((AD48-1)/'E1_Données de projet'!$I$48,0))/'E1_Données de projet'!$I$48
+'E1_Données de projet'!$D$49*(1+Eing_allg_Teuerung/100)^('E1_Données de projet'!$I$49*ROUNDDOWN((AD48-1)/'E1_Données de projet'!$I$49,0))/'E1_Données de projet'!$I$49
+'E1_Données de projet'!$D$50*(1+Eing_allg_Teuerung/100)^('E1_Données de projet'!$I$50*ROUNDDOWN((AD48-1)/'E1_Données de projet'!$I$50,0))/'E1_Données de projet'!$I$50
+'E1_Données de projet'!$D$51*(1+Eing_allg_Teuerung/100)^('E1_Données de projet'!$I$51*ROUNDDOWN((AD48-1)/'E1_Données de projet'!$I$51,0))/'E1_Données de projet'!$I$51
+'E1_Données de projet'!$D$52*(1+Eing_allg_Teuerung/100)^('E1_Données de projet'!$I$52*ROUNDDOWN((AD48-1)/'E1_Données de projet'!$I$52,0))/'E1_Données de projet'!$I$52
+'E1_Données de projet'!$D$53*(1+Eing_allg_Teuerung/100)^('E1_Données de projet'!$I$53*ROUNDDOWN((AD48-1)/'E1_Données de projet'!$I$53,0))/'E1_Données de projet'!$I$53
)*((AD48)&gt;0)*VLOOKUP(B48,'E1_Données de projet'!$D$58:$I$60,6
)/100</f>
        <v>43833.333333333343</v>
      </c>
      <c r="O48" s="140">
        <f t="shared" si="11"/>
        <v>253717.16601932229</v>
      </c>
      <c r="P48" s="136">
        <f>SUM((SUMPRODUCT((E3_Consommateurs!$D$21:$XFD$21&lt;B1_Calculs!B48)*E3_Consommateurs!$D$25:$XFD$25)+SUMPRODUCT((E3_Consommateurs!$D$21:$XFD$21=B1_Calculs!B48)*E3_Consommateurs!$D$25:$XFD$25*E3_Consommateurs!$D$20:$XFD$20))*(1+$G$24)^(B48-B$36),(SUMPRODUCT((E3_Consommateurs!$D$21:$XFD$21&lt;B1_Calculs!B48)*E3_Consommateurs!$D$26:$XFD$26)+SUMPRODUCT((E3_Consommateurs!$D$21:$XFD$21=B1_Calculs!B48)*E3_Consommateurs!$D$26:$XFD$26*E3_Consommateurs!$D$20:$XFD$20))*((1+$G$24)*(1-'E1_Données de projet'!$D$19/100))^(B48-B$36))</f>
        <v>295007.26752304501</v>
      </c>
      <c r="Q48" s="137">
        <f>SUMPRODUCT((E3_Consommateurs!$D$21:$XFD$21=B1_Calculs!B48)*E3_Consommateurs!$D$23:$XFD$23)</f>
        <v>0</v>
      </c>
      <c r="R48" s="261">
        <f>SUM(jährlicher_Förderbeitrag*(B48-Erstauszahlung_jährlFörderung&lt;=Eing_Förderung_wiederholend_Laufzeit-1)*(B48&gt;='E1_Données de projet'!$D$83),'E1_Données de projet'!$D$76*(B48='E1_Données de projet'!$D$77),'E1_Données de projet'!$D$78*(B48='E1_Données de projet'!$D$79))</f>
        <v>10000</v>
      </c>
      <c r="S48" s="138"/>
      <c r="T48" s="141"/>
      <c r="U48" s="140">
        <f t="shared" si="12"/>
        <v>305007.26752304501</v>
      </c>
      <c r="V48" s="142">
        <f t="shared" si="13"/>
        <v>51290.101503722719</v>
      </c>
      <c r="W48" s="140">
        <f t="shared" si="18"/>
        <v>978366.95823216299</v>
      </c>
      <c r="X48" s="137">
        <f>'E1_Données de projet'!$D$48*(AD48-1='E1_Données de projet'!$I$48)*(1+Eing_allg_Teuerung/100)^'E1_Données de projet'!$I$48
+'E1_Données de projet'!$D$49*(AD48-1='E1_Données de projet'!$I$49)*(1+Eing_allg_Teuerung/100)^'E1_Données de projet'!$I$49
+'E1_Données de projet'!$D$50*(AD48-1='E1_Données de projet'!$I$50)*(1+Eing_allg_Teuerung/100)^'E1_Données de projet'!$I$50
+'E1_Données de projet'!$D$51*(AD48-1='E1_Données de projet'!$I$51)*(1+Eing_allg_Teuerung/100)^'E1_Données de projet'!$I$51
+'E1_Données de projet'!$D$52*(AD48-1='E1_Données de projet'!$I$52)*(1+Eing_allg_Teuerung/100)^'E1_Données de projet'!$I$52
+'E1_Données de projet'!$D$53*(AD48-1='E1_Données de projet'!$I$53)*(1+Eing_allg_Teuerung/100)^'E1_Données de projet'!$I$53
+Gesamtinvestition*SUMPRODUCT(('E1_Données de projet'!$D$58:$D$60=B48)*'E1_Données de projet'!$F$58:$F$60)/100</f>
        <v>0</v>
      </c>
      <c r="Y48" s="143">
        <f t="shared" si="6"/>
        <v>0</v>
      </c>
      <c r="Z48" s="134">
        <f t="shared" si="7"/>
        <v>90666.666666666672</v>
      </c>
      <c r="AA48" s="136">
        <f t="shared" si="14"/>
        <v>4456.7681703893904</v>
      </c>
      <c r="AB48" s="144">
        <f t="shared" si="15"/>
        <v>49533.624898829716</v>
      </c>
      <c r="AC48" s="145"/>
      <c r="AD48" s="146">
        <f>MAX(B1_Calculs!B48+1-'E1_Données de projet'!$D$22,0)</f>
        <v>11</v>
      </c>
      <c r="AE48" s="147">
        <f t="shared" si="8"/>
        <v>-224000</v>
      </c>
      <c r="AF48" s="148">
        <f>'E1_Données de projet'!$D$48*(AD48-1='E1_Données de projet'!$I$48)*(1+Eing_allg_Teuerung/100)^'E1_Données de projet'!$I$48
+'E1_Données de projet'!$D$49*(AD48-1='E1_Données de projet'!$I$49)*(1+Eing_allg_Teuerung/100)^'E1_Données de projet'!$I$49
+'E1_Données de projet'!$D$50*(AD48-1='E1_Données de projet'!$I$50)*(1+Eing_allg_Teuerung/100)^'E1_Données de projet'!$I$50
+'E1_Données de projet'!$D$51*(AD48-1='E1_Données de projet'!$I$51)*(1+Eing_allg_Teuerung/100)^'E1_Données de projet'!$I$51
+'E1_Données de projet'!$D$52*(AD48-1='E1_Données de projet'!$I$52)*(1+Eing_allg_Teuerung/100)^'E1_Données de projet'!$I$52
+'E1_Données de projet'!$D$53*(AD48-1='E1_Données de projet'!$I$53)*(1+Eing_allg_Teuerung/100)^'E1_Données de projet'!$I$53
+(Gesamtinvestition-SUM('E1_Données de projet'!$D$54:$D$55))*SUMPRODUCT(('E1_Données de projet'!$D$58:$D$60=B48)*'E1_Données de projet'!$F$58:$F$60)/100+AF47-N48</f>
        <v>937833.33333333384</v>
      </c>
      <c r="AG48" s="149">
        <f>IF(ISNUMBER(IRR((AJ$36:AJ47,AI48))),IRR((AJ$36:AJ47,AI48)),"-")</f>
        <v>6.0845869800040475E-2</v>
      </c>
      <c r="AH48" s="150">
        <f t="shared" si="9"/>
        <v>2034</v>
      </c>
      <c r="AI48" s="151">
        <f t="shared" si="19"/>
        <v>1032956.7681703899</v>
      </c>
      <c r="AJ48" s="151">
        <f t="shared" si="16"/>
        <v>95123.434837056062</v>
      </c>
    </row>
    <row r="49" spans="2:36" ht="12.95" customHeight="1" x14ac:dyDescent="0.2">
      <c r="B49" s="133">
        <f t="shared" si="17"/>
        <v>2035</v>
      </c>
      <c r="C49" s="134">
        <f>(SUMPRODUCT((E3_Consommateurs!$D$21:$XFD$21&lt;B1_Calculs!B49)*E3_Consommateurs!$D$18:$XFD$18)+SUMPRODUCT((E3_Consommateurs!$D$21:$XFD$21=B1_Calculs!B49)*E3_Consommateurs!$D$18:$XFD$18*E3_Consommateurs!$D$20:$XFD$20))/(100-Eing_Netzverluste)*100*(1-'E1_Données de projet'!$D$19/100)^(B1_Calculs!B49-'E1_Données de projet'!$D$22)</f>
        <v>1860.3139282931106</v>
      </c>
      <c r="D49" s="135">
        <f t="shared" si="1"/>
        <v>89.533825425871626</v>
      </c>
      <c r="E49" s="136">
        <f t="shared" si="2"/>
        <v>98979.60402516005</v>
      </c>
      <c r="F49" s="137">
        <f t="shared" si="3"/>
        <v>31758.161719302683</v>
      </c>
      <c r="G49" s="137">
        <f t="shared" si="4"/>
        <v>6351.6323438605368</v>
      </c>
      <c r="H49" s="137">
        <f>($F$19*(1+$G$19)^(B49-B$36)+$F$20*(1+$G$20)^(B49-B$36))*(B49&gt;='E1_Données de projet'!$D$22)*VLOOKUP(B49,'E1_Données de projet'!$D$58:$I$60,6)/100</f>
        <v>20485.679047799211</v>
      </c>
      <c r="I49" s="137">
        <f>$F$21*(1+$G$21)^(B49-B$36)*(B49&gt;='E1_Données de projet'!$D$22)*VLOOKUP(B49,'E1_Données de projet'!$D$58:$I$60,6)/100</f>
        <v>27200.429402355618</v>
      </c>
      <c r="J49" s="137">
        <f t="shared" si="10"/>
        <v>19802.823079539237</v>
      </c>
      <c r="K49" s="138"/>
      <c r="L49" s="139"/>
      <c r="M49" s="134">
        <f t="shared" si="5"/>
        <v>3333.3333333333312</v>
      </c>
      <c r="N49" s="137">
        <f>+('E1_Données de projet'!$D$48*(1+Eing_allg_Teuerung/100)^('E1_Données de projet'!$I$48*ROUNDDOWN((AD49-1)/'E1_Données de projet'!$I$48,0))/'E1_Données de projet'!$I$48
+'E1_Données de projet'!$D$49*(1+Eing_allg_Teuerung/100)^('E1_Données de projet'!$I$49*ROUNDDOWN((AD49-1)/'E1_Données de projet'!$I$49,0))/'E1_Données de projet'!$I$49
+'E1_Données de projet'!$D$50*(1+Eing_allg_Teuerung/100)^('E1_Données de projet'!$I$50*ROUNDDOWN((AD49-1)/'E1_Données de projet'!$I$50,0))/'E1_Données de projet'!$I$50
+'E1_Données de projet'!$D$51*(1+Eing_allg_Teuerung/100)^('E1_Données de projet'!$I$51*ROUNDDOWN((AD49-1)/'E1_Données de projet'!$I$51,0))/'E1_Données de projet'!$I$51
+'E1_Données de projet'!$D$52*(1+Eing_allg_Teuerung/100)^('E1_Données de projet'!$I$52*ROUNDDOWN((AD49-1)/'E1_Données de projet'!$I$52,0))/'E1_Données de projet'!$I$52
+'E1_Données de projet'!$D$53*(1+Eing_allg_Teuerung/100)^('E1_Données de projet'!$I$53*ROUNDDOWN((AD49-1)/'E1_Données de projet'!$I$53,0))/'E1_Données de projet'!$I$53
)*((AD49)&gt;0)*VLOOKUP(B49,'E1_Données de projet'!$D$58:$I$60,6
)/100</f>
        <v>43833.333333333343</v>
      </c>
      <c r="O49" s="140">
        <f t="shared" si="11"/>
        <v>251744.99628468402</v>
      </c>
      <c r="P49" s="136">
        <f>SUM((SUMPRODUCT((E3_Consommateurs!$D$21:$XFD$21&lt;B1_Calculs!B49)*E3_Consommateurs!$D$25:$XFD$25)+SUMPRODUCT((E3_Consommateurs!$D$21:$XFD$21=B1_Calculs!B49)*E3_Consommateurs!$D$25:$XFD$25*E3_Consommateurs!$D$20:$XFD$20))*(1+$G$24)^(B49-B$36),(SUMPRODUCT((E3_Consommateurs!$D$21:$XFD$21&lt;B1_Calculs!B49)*E3_Consommateurs!$D$26:$XFD$26)+SUMPRODUCT((E3_Consommateurs!$D$21:$XFD$21=B1_Calculs!B49)*E3_Consommateurs!$D$26:$XFD$26*E3_Consommateurs!$D$20:$XFD$20))*((1+$G$24)*(1-'E1_Données de projet'!$D$19/100))^(B49-B$36))</f>
        <v>296070.90539214888</v>
      </c>
      <c r="Q49" s="137">
        <f>SUMPRODUCT((E3_Consommateurs!$D$21:$XFD$21=B1_Calculs!B49)*E3_Consommateurs!$D$23:$XFD$23)</f>
        <v>0</v>
      </c>
      <c r="R49" s="261">
        <f>SUM(jährlicher_Förderbeitrag*(B49-Erstauszahlung_jährlFörderung&lt;=Eing_Förderung_wiederholend_Laufzeit-1)*(B49&gt;='E1_Données de projet'!$D$83),'E1_Données de projet'!$D$76*(B49='E1_Données de projet'!$D$77),'E1_Données de projet'!$D$78*(B49='E1_Données de projet'!$D$79))</f>
        <v>10000</v>
      </c>
      <c r="S49" s="138"/>
      <c r="T49" s="141"/>
      <c r="U49" s="140">
        <f t="shared" si="12"/>
        <v>306070.90539214888</v>
      </c>
      <c r="V49" s="142">
        <f t="shared" si="13"/>
        <v>54325.90910746486</v>
      </c>
      <c r="W49" s="140">
        <f t="shared" si="18"/>
        <v>1032692.8673396278</v>
      </c>
      <c r="X49" s="137">
        <f>'E1_Données de projet'!$D$48*(AD49-1='E1_Données de projet'!$I$48)*(1+Eing_allg_Teuerung/100)^'E1_Données de projet'!$I$48
+'E1_Données de projet'!$D$49*(AD49-1='E1_Données de projet'!$I$49)*(1+Eing_allg_Teuerung/100)^'E1_Données de projet'!$I$49
+'E1_Données de projet'!$D$50*(AD49-1='E1_Données de projet'!$I$50)*(1+Eing_allg_Teuerung/100)^'E1_Données de projet'!$I$50
+'E1_Données de projet'!$D$51*(AD49-1='E1_Données de projet'!$I$51)*(1+Eing_allg_Teuerung/100)^'E1_Données de projet'!$I$51
+'E1_Données de projet'!$D$52*(AD49-1='E1_Données de projet'!$I$52)*(1+Eing_allg_Teuerung/100)^'E1_Données de projet'!$I$52
+'E1_Données de projet'!$D$53*(AD49-1='E1_Données de projet'!$I$53)*(1+Eing_allg_Teuerung/100)^'E1_Données de projet'!$I$53
+Gesamtinvestition*SUMPRODUCT(('E1_Données de projet'!$D$58:$D$60=B49)*'E1_Données de projet'!$F$58:$F$60)/100</f>
        <v>0</v>
      </c>
      <c r="Y49" s="143">
        <f t="shared" si="6"/>
        <v>0</v>
      </c>
      <c r="Z49" s="134">
        <f t="shared" si="7"/>
        <v>90666.666666666672</v>
      </c>
      <c r="AA49" s="136">
        <f t="shared" si="14"/>
        <v>7492.5757741315319</v>
      </c>
      <c r="AB49" s="144">
        <f t="shared" si="15"/>
        <v>57026.200672961248</v>
      </c>
      <c r="AC49" s="145"/>
      <c r="AD49" s="146">
        <f>MAX(B1_Calculs!B49+1-'E1_Données de projet'!$D$22,0)</f>
        <v>12</v>
      </c>
      <c r="AE49" s="147">
        <f t="shared" si="8"/>
        <v>-133333.33333333326</v>
      </c>
      <c r="AF49" s="148">
        <f>'E1_Données de projet'!$D$48*(AD49-1='E1_Données de projet'!$I$48)*(1+Eing_allg_Teuerung/100)^'E1_Données de projet'!$I$48
+'E1_Données de projet'!$D$49*(AD49-1='E1_Données de projet'!$I$49)*(1+Eing_allg_Teuerung/100)^'E1_Données de projet'!$I$49
+'E1_Données de projet'!$D$50*(AD49-1='E1_Données de projet'!$I$50)*(1+Eing_allg_Teuerung/100)^'E1_Données de projet'!$I$50
+'E1_Données de projet'!$D$51*(AD49-1='E1_Données de projet'!$I$51)*(1+Eing_allg_Teuerung/100)^'E1_Données de projet'!$I$51
+'E1_Données de projet'!$D$52*(AD49-1='E1_Données de projet'!$I$52)*(1+Eing_allg_Teuerung/100)^'E1_Données de projet'!$I$52
+'E1_Données de projet'!$D$53*(AD49-1='E1_Données de projet'!$I$53)*(1+Eing_allg_Teuerung/100)^'E1_Données de projet'!$I$53
+(Gesamtinvestition-SUM('E1_Données de projet'!$D$54:$D$55))*SUMPRODUCT(('E1_Données de projet'!$D$58:$D$60=B49)*'E1_Données de projet'!$F$58:$F$60)/100+AF48-N49</f>
        <v>894000.00000000047</v>
      </c>
      <c r="AG49" s="149">
        <f>IF(ISNUMBER(IRR((AJ$36:AJ48,AI49))),IRR((AJ$36:AJ48,AI49)),"-")</f>
        <v>6.0705983306456934E-2</v>
      </c>
      <c r="AH49" s="150">
        <f t="shared" si="9"/>
        <v>2035</v>
      </c>
      <c r="AI49" s="151">
        <f t="shared" si="19"/>
        <v>992159.24244079867</v>
      </c>
      <c r="AJ49" s="151">
        <f t="shared" si="16"/>
        <v>98159.242440798203</v>
      </c>
    </row>
    <row r="50" spans="2:36" ht="12.95" customHeight="1" x14ac:dyDescent="0.2">
      <c r="B50" s="133">
        <f t="shared" si="17"/>
        <v>2036</v>
      </c>
      <c r="C50" s="134">
        <f>(SUMPRODUCT((E3_Consommateurs!$D$21:$XFD$21&lt;B1_Calculs!B50)*E3_Consommateurs!$D$18:$XFD$18)+SUMPRODUCT((E3_Consommateurs!$D$21:$XFD$21=B1_Calculs!B50)*E3_Consommateurs!$D$18:$XFD$18*E3_Consommateurs!$D$20:$XFD$20))/(100-Eing_Netzverluste)*100*(1-'E1_Données de projet'!$D$19/100)^(B1_Calculs!B50-'E1_Données de projet'!$D$22)</f>
        <v>1841.7107890101795</v>
      </c>
      <c r="D50" s="135">
        <f t="shared" si="1"/>
        <v>88.638487171612908</v>
      </c>
      <c r="E50" s="136">
        <f t="shared" si="2"/>
        <v>98969.706064757527</v>
      </c>
      <c r="F50" s="137">
        <f t="shared" si="3"/>
        <v>31754.985903130757</v>
      </c>
      <c r="G50" s="137">
        <f t="shared" si="4"/>
        <v>6350.997180626151</v>
      </c>
      <c r="H50" s="137">
        <f>($F$19*(1+$G$19)^(B50-B$36)+$F$20*(1+$G$20)^(B50-B$36))*(B50&gt;='E1_Données de projet'!$D$22)*VLOOKUP(B50,'E1_Données de projet'!$D$58:$I$60,6)/100</f>
        <v>20690.535838277206</v>
      </c>
      <c r="I50" s="137">
        <f>$F$21*(1+$G$21)^(B50-B$36)*(B50&gt;='E1_Données de projet'!$D$22)*VLOOKUP(B50,'E1_Données de projet'!$D$58:$I$60,6)/100</f>
        <v>27472.433696379176</v>
      </c>
      <c r="J50" s="137">
        <f t="shared" si="10"/>
        <v>20000.851310334634</v>
      </c>
      <c r="K50" s="138"/>
      <c r="L50" s="139"/>
      <c r="M50" s="134">
        <f t="shared" si="5"/>
        <v>1666.6666666666656</v>
      </c>
      <c r="N50" s="137">
        <f>+('E1_Données de projet'!$D$48*(1+Eing_allg_Teuerung/100)^('E1_Données de projet'!$I$48*ROUNDDOWN((AD50-1)/'E1_Données de projet'!$I$48,0))/'E1_Données de projet'!$I$48
+'E1_Données de projet'!$D$49*(1+Eing_allg_Teuerung/100)^('E1_Données de projet'!$I$49*ROUNDDOWN((AD50-1)/'E1_Données de projet'!$I$49,0))/'E1_Données de projet'!$I$49
+'E1_Données de projet'!$D$50*(1+Eing_allg_Teuerung/100)^('E1_Données de projet'!$I$50*ROUNDDOWN((AD50-1)/'E1_Données de projet'!$I$50,0))/'E1_Données de projet'!$I$50
+'E1_Données de projet'!$D$51*(1+Eing_allg_Teuerung/100)^('E1_Données de projet'!$I$51*ROUNDDOWN((AD50-1)/'E1_Données de projet'!$I$51,0))/'E1_Données de projet'!$I$51
+'E1_Données de projet'!$D$52*(1+Eing_allg_Teuerung/100)^('E1_Données de projet'!$I$52*ROUNDDOWN((AD50-1)/'E1_Données de projet'!$I$52,0))/'E1_Données de projet'!$I$52
+'E1_Données de projet'!$D$53*(1+Eing_allg_Teuerung/100)^('E1_Données de projet'!$I$53*ROUNDDOWN((AD50-1)/'E1_Données de projet'!$I$53,0))/'E1_Données de projet'!$I$53
)*((AD50)&gt;0)*VLOOKUP(B50,'E1_Données de projet'!$D$58:$I$60,6
)/100</f>
        <v>43833.333333333343</v>
      </c>
      <c r="O50" s="140">
        <f t="shared" si="11"/>
        <v>250739.50999350546</v>
      </c>
      <c r="P50" s="136">
        <f>SUM((SUMPRODUCT((E3_Consommateurs!$D$21:$XFD$21&lt;B1_Calculs!B50)*E3_Consommateurs!$D$25:$XFD$25)+SUMPRODUCT((E3_Consommateurs!$D$21:$XFD$21=B1_Calculs!B50)*E3_Consommateurs!$D$25:$XFD$25*E3_Consommateurs!$D$20:$XFD$20))*(1+$G$24)^(B50-B$36),(SUMPRODUCT((E3_Consommateurs!$D$21:$XFD$21&lt;B1_Calculs!B50)*E3_Consommateurs!$D$26:$XFD$26)+SUMPRODUCT((E3_Consommateurs!$D$21:$XFD$21=B1_Calculs!B50)*E3_Consommateurs!$D$26:$XFD$26*E3_Consommateurs!$D$20:$XFD$20))*((1+$G$24)*(1-'E1_Données de projet'!$D$19/100))^(B50-B$36))</f>
        <v>297145.36828342447</v>
      </c>
      <c r="Q50" s="137">
        <f>SUMPRODUCT((E3_Consommateurs!$D$21:$XFD$21=B1_Calculs!B50)*E3_Consommateurs!$D$23:$XFD$23)</f>
        <v>0</v>
      </c>
      <c r="R50" s="261">
        <f>SUM(jährlicher_Förderbeitrag*(B50-Erstauszahlung_jährlFörderung&lt;=Eing_Förderung_wiederholend_Laufzeit-1)*(B50&gt;='E1_Données de projet'!$D$83),'E1_Données de projet'!$D$76*(B50='E1_Données de projet'!$D$77),'E1_Données de projet'!$D$78*(B50='E1_Données de projet'!$D$79))</f>
        <v>10000</v>
      </c>
      <c r="S50" s="138"/>
      <c r="T50" s="141"/>
      <c r="U50" s="140">
        <f t="shared" si="12"/>
        <v>307145.36828342447</v>
      </c>
      <c r="V50" s="142">
        <f t="shared" si="13"/>
        <v>56405.858289919008</v>
      </c>
      <c r="W50" s="140">
        <f t="shared" si="18"/>
        <v>1089098.7256295469</v>
      </c>
      <c r="X50" s="137">
        <f>'E1_Données de projet'!$D$48*(AD50-1='E1_Données de projet'!$I$48)*(1+Eing_allg_Teuerung/100)^'E1_Données de projet'!$I$48
+'E1_Données de projet'!$D$49*(AD50-1='E1_Données de projet'!$I$49)*(1+Eing_allg_Teuerung/100)^'E1_Données de projet'!$I$49
+'E1_Données de projet'!$D$50*(AD50-1='E1_Données de projet'!$I$50)*(1+Eing_allg_Teuerung/100)^'E1_Données de projet'!$I$50
+'E1_Données de projet'!$D$51*(AD50-1='E1_Données de projet'!$I$51)*(1+Eing_allg_Teuerung/100)^'E1_Données de projet'!$I$51
+'E1_Données de projet'!$D$52*(AD50-1='E1_Données de projet'!$I$52)*(1+Eing_allg_Teuerung/100)^'E1_Données de projet'!$I$52
+'E1_Données de projet'!$D$53*(AD50-1='E1_Données de projet'!$I$53)*(1+Eing_allg_Teuerung/100)^'E1_Données de projet'!$I$53
+Gesamtinvestition*SUMPRODUCT(('E1_Données de projet'!$D$58:$D$60=B50)*'E1_Données de projet'!$F$58:$F$60)/100</f>
        <v>0</v>
      </c>
      <c r="Y50" s="143">
        <f t="shared" si="6"/>
        <v>0</v>
      </c>
      <c r="Z50" s="134">
        <f t="shared" si="7"/>
        <v>66666.666666666672</v>
      </c>
      <c r="AA50" s="136">
        <f t="shared" si="14"/>
        <v>33572.524956585679</v>
      </c>
      <c r="AB50" s="144">
        <f t="shared" si="15"/>
        <v>90598.725629546927</v>
      </c>
      <c r="AC50" s="145"/>
      <c r="AD50" s="146">
        <f>MAX(B1_Calculs!B50+1-'E1_Données de projet'!$D$22,0)</f>
        <v>13</v>
      </c>
      <c r="AE50" s="147">
        <f t="shared" si="8"/>
        <v>-66666.666666666628</v>
      </c>
      <c r="AF50" s="148">
        <f>'E1_Données de projet'!$D$48*(AD50-1='E1_Données de projet'!$I$48)*(1+Eing_allg_Teuerung/100)^'E1_Données de projet'!$I$48
+'E1_Données de projet'!$D$49*(AD50-1='E1_Données de projet'!$I$49)*(1+Eing_allg_Teuerung/100)^'E1_Données de projet'!$I$49
+'E1_Données de projet'!$D$50*(AD50-1='E1_Données de projet'!$I$50)*(1+Eing_allg_Teuerung/100)^'E1_Données de projet'!$I$50
+'E1_Données de projet'!$D$51*(AD50-1='E1_Données de projet'!$I$51)*(1+Eing_allg_Teuerung/100)^'E1_Données de projet'!$I$51
+'E1_Données de projet'!$D$52*(AD50-1='E1_Données de projet'!$I$52)*(1+Eing_allg_Teuerung/100)^'E1_Données de projet'!$I$52
+'E1_Données de projet'!$D$53*(AD50-1='E1_Données de projet'!$I$53)*(1+Eing_allg_Teuerung/100)^'E1_Données de projet'!$I$53
+(Gesamtinvestition-SUM('E1_Données de projet'!$D$54:$D$55))*SUMPRODUCT(('E1_Données de projet'!$D$58:$D$60=B50)*'E1_Données de projet'!$F$58:$F$60)/100+AF49-N50</f>
        <v>850166.66666666709</v>
      </c>
      <c r="AG50" s="149">
        <f>IF(ISNUMBER(IRR((AJ$36:AJ49,AI50))),IRR((AJ$36:AJ49,AI50)),"-")</f>
        <v>6.0804597795596438E-2</v>
      </c>
      <c r="AH50" s="150">
        <f t="shared" si="9"/>
        <v>2036</v>
      </c>
      <c r="AI50" s="151">
        <f t="shared" si="19"/>
        <v>950405.85828991944</v>
      </c>
      <c r="AJ50" s="151">
        <f t="shared" si="16"/>
        <v>100239.19162325235</v>
      </c>
    </row>
    <row r="51" spans="2:36" ht="12.95" customHeight="1" x14ac:dyDescent="0.2">
      <c r="B51" s="133">
        <f t="shared" si="17"/>
        <v>2037</v>
      </c>
      <c r="C51" s="134">
        <f>(SUMPRODUCT((E3_Consommateurs!$D$21:$XFD$21&lt;B1_Calculs!B51)*E3_Consommateurs!$D$18:$XFD$18)+SUMPRODUCT((E3_Consommateurs!$D$21:$XFD$21=B1_Calculs!B51)*E3_Consommateurs!$D$18:$XFD$18*E3_Consommateurs!$D$20:$XFD$20))/(100-Eing_Netzverluste)*100*(1-'E1_Données de projet'!$D$19/100)^(B1_Calculs!B51-'E1_Données de projet'!$D$22)</f>
        <v>1823.2936811200775</v>
      </c>
      <c r="D51" s="135">
        <f t="shared" si="1"/>
        <v>87.752102299896777</v>
      </c>
      <c r="E51" s="136">
        <f t="shared" si="2"/>
        <v>98959.809094151031</v>
      </c>
      <c r="F51" s="137">
        <f t="shared" si="3"/>
        <v>31751.810404540433</v>
      </c>
      <c r="G51" s="137">
        <f t="shared" si="4"/>
        <v>6350.3620809080867</v>
      </c>
      <c r="H51" s="137">
        <f>($F$19*(1+$G$19)^(B51-B$36)+$F$20*(1+$G$20)^(B51-B$36))*(B51&gt;='E1_Données de projet'!$D$22)*VLOOKUP(B51,'E1_Données de projet'!$D$58:$I$60,6)/100</f>
        <v>20897.441196659973</v>
      </c>
      <c r="I51" s="137">
        <f>$F$21*(1+$G$21)^(B51-B$36)*(B51&gt;='E1_Données de projet'!$D$22)*VLOOKUP(B51,'E1_Données de projet'!$D$58:$I$60,6)/100</f>
        <v>27747.158033342963</v>
      </c>
      <c r="J51" s="137">
        <f t="shared" si="10"/>
        <v>20200.859823437971</v>
      </c>
      <c r="K51" s="138"/>
      <c r="L51" s="139"/>
      <c r="M51" s="134">
        <f t="shared" si="5"/>
        <v>0</v>
      </c>
      <c r="N51" s="137">
        <f>+('E1_Données de projet'!$D$48*(1+Eing_allg_Teuerung/100)^('E1_Données de projet'!$I$48*ROUNDDOWN((AD51-1)/'E1_Données de projet'!$I$48,0))/'E1_Données de projet'!$I$48
+'E1_Données de projet'!$D$49*(1+Eing_allg_Teuerung/100)^('E1_Données de projet'!$I$49*ROUNDDOWN((AD51-1)/'E1_Données de projet'!$I$49,0))/'E1_Données de projet'!$I$49
+'E1_Données de projet'!$D$50*(1+Eing_allg_Teuerung/100)^('E1_Données de projet'!$I$50*ROUNDDOWN((AD51-1)/'E1_Données de projet'!$I$50,0))/'E1_Données de projet'!$I$50
+'E1_Données de projet'!$D$51*(1+Eing_allg_Teuerung/100)^('E1_Données de projet'!$I$51*ROUNDDOWN((AD51-1)/'E1_Données de projet'!$I$51,0))/'E1_Données de projet'!$I$51
+'E1_Données de projet'!$D$52*(1+Eing_allg_Teuerung/100)^('E1_Données de projet'!$I$52*ROUNDDOWN((AD51-1)/'E1_Données de projet'!$I$52,0))/'E1_Données de projet'!$I$52
+'E1_Données de projet'!$D$53*(1+Eing_allg_Teuerung/100)^('E1_Données de projet'!$I$53*ROUNDDOWN((AD51-1)/'E1_Données de projet'!$I$53,0))/'E1_Données de projet'!$I$53
)*((AD51)&gt;0)*VLOOKUP(B51,'E1_Données de projet'!$D$58:$I$60,6
)/100</f>
        <v>43833.333333333343</v>
      </c>
      <c r="O51" s="140">
        <f t="shared" si="11"/>
        <v>249740.77396637382</v>
      </c>
      <c r="P51" s="136">
        <f>SUM((SUMPRODUCT((E3_Consommateurs!$D$21:$XFD$21&lt;B1_Calculs!B51)*E3_Consommateurs!$D$25:$XFD$25)+SUMPRODUCT((E3_Consommateurs!$D$21:$XFD$21=B1_Calculs!B51)*E3_Consommateurs!$D$25:$XFD$25*E3_Consommateurs!$D$20:$XFD$20))*(1+$G$24)^(B51-B$36),(SUMPRODUCT((E3_Consommateurs!$D$21:$XFD$21&lt;B1_Calculs!B51)*E3_Consommateurs!$D$26:$XFD$26)+SUMPRODUCT((E3_Consommateurs!$D$21:$XFD$21=B1_Calculs!B51)*E3_Consommateurs!$D$26:$XFD$26*E3_Consommateurs!$D$20:$XFD$20))*((1+$G$24)*(1-'E1_Données de projet'!$D$19/100))^(B51-B$36))</f>
        <v>298230.76442822895</v>
      </c>
      <c r="Q51" s="137">
        <f>SUMPRODUCT((E3_Consommateurs!$D$21:$XFD$21=B1_Calculs!B51)*E3_Consommateurs!$D$23:$XFD$23)</f>
        <v>0</v>
      </c>
      <c r="R51" s="261">
        <f>SUM(jährlicher_Förderbeitrag*(B51-Erstauszahlung_jährlFörderung&lt;=Eing_Förderung_wiederholend_Laufzeit-1)*(B51&gt;='E1_Données de projet'!$D$83),'E1_Données de projet'!$D$76*(B51='E1_Données de projet'!$D$77),'E1_Données de projet'!$D$78*(B51='E1_Données de projet'!$D$79))</f>
        <v>10000</v>
      </c>
      <c r="S51" s="138"/>
      <c r="T51" s="141"/>
      <c r="U51" s="140">
        <f t="shared" si="12"/>
        <v>308230.76442822895</v>
      </c>
      <c r="V51" s="142">
        <f t="shared" si="13"/>
        <v>58489.990461855137</v>
      </c>
      <c r="W51" s="140">
        <f t="shared" si="18"/>
        <v>1147588.7160914021</v>
      </c>
      <c r="X51" s="137">
        <f>'E1_Données de projet'!$D$48*(AD51-1='E1_Données de projet'!$I$48)*(1+Eing_allg_Teuerung/100)^'E1_Données de projet'!$I$48
+'E1_Données de projet'!$D$49*(AD51-1='E1_Données de projet'!$I$49)*(1+Eing_allg_Teuerung/100)^'E1_Données de projet'!$I$49
+'E1_Données de projet'!$D$50*(AD51-1='E1_Données de projet'!$I$50)*(1+Eing_allg_Teuerung/100)^'E1_Données de projet'!$I$50
+'E1_Données de projet'!$D$51*(AD51-1='E1_Données de projet'!$I$51)*(1+Eing_allg_Teuerung/100)^'E1_Données de projet'!$I$51
+'E1_Données de projet'!$D$52*(AD51-1='E1_Données de projet'!$I$52)*(1+Eing_allg_Teuerung/100)^'E1_Données de projet'!$I$52
+'E1_Données de projet'!$D$53*(AD51-1='E1_Données de projet'!$I$53)*(1+Eing_allg_Teuerung/100)^'E1_Données de projet'!$I$53
+Gesamtinvestition*SUMPRODUCT(('E1_Données de projet'!$D$58:$D$60=B51)*'E1_Données de projet'!$F$58:$F$60)/100</f>
        <v>0</v>
      </c>
      <c r="Y51" s="143">
        <f t="shared" si="6"/>
        <v>0</v>
      </c>
      <c r="Z51" s="134">
        <f t="shared" si="7"/>
        <v>66666.666666666672</v>
      </c>
      <c r="AA51" s="136">
        <f t="shared" si="14"/>
        <v>35656.657128521809</v>
      </c>
      <c r="AB51" s="144">
        <f t="shared" si="15"/>
        <v>126255.38275806874</v>
      </c>
      <c r="AC51" s="145"/>
      <c r="AD51" s="146">
        <f>MAX(B1_Calculs!B51+1-'E1_Données de projet'!$D$22,0)</f>
        <v>14</v>
      </c>
      <c r="AE51" s="147">
        <f t="shared" si="8"/>
        <v>0</v>
      </c>
      <c r="AF51" s="148">
        <f>'E1_Données de projet'!$D$48*(AD51-1='E1_Données de projet'!$I$48)*(1+Eing_allg_Teuerung/100)^'E1_Données de projet'!$I$48
+'E1_Données de projet'!$D$49*(AD51-1='E1_Données de projet'!$I$49)*(1+Eing_allg_Teuerung/100)^'E1_Données de projet'!$I$49
+'E1_Données de projet'!$D$50*(AD51-1='E1_Données de projet'!$I$50)*(1+Eing_allg_Teuerung/100)^'E1_Données de projet'!$I$50
+'E1_Données de projet'!$D$51*(AD51-1='E1_Données de projet'!$I$51)*(1+Eing_allg_Teuerung/100)^'E1_Données de projet'!$I$51
+'E1_Données de projet'!$D$52*(AD51-1='E1_Données de projet'!$I$52)*(1+Eing_allg_Teuerung/100)^'E1_Données de projet'!$I$52
+'E1_Données de projet'!$D$53*(AD51-1='E1_Données de projet'!$I$53)*(1+Eing_allg_Teuerung/100)^'E1_Données de projet'!$I$53
+(Gesamtinvestition-SUM('E1_Données de projet'!$D$54:$D$55))*SUMPRODUCT(('E1_Données de projet'!$D$58:$D$60=B51)*'E1_Données de projet'!$F$58:$F$60)/100+AF50-N51</f>
        <v>806333.33333333372</v>
      </c>
      <c r="AG51" s="149">
        <f>IF(ISNUMBER(IRR((AJ$36:AJ50,AI51))),IRR((AJ$36:AJ50,AI51)),"-")</f>
        <v>6.1089176559616654E-2</v>
      </c>
      <c r="AH51" s="150">
        <f t="shared" si="9"/>
        <v>2037</v>
      </c>
      <c r="AI51" s="151">
        <f t="shared" si="19"/>
        <v>908656.65712852217</v>
      </c>
      <c r="AJ51" s="151">
        <f t="shared" si="16"/>
        <v>102323.32379518848</v>
      </c>
    </row>
    <row r="52" spans="2:36" ht="12.95" customHeight="1" x14ac:dyDescent="0.2">
      <c r="B52" s="133">
        <f t="shared" si="17"/>
        <v>2038</v>
      </c>
      <c r="C52" s="134">
        <f>(SUMPRODUCT((E3_Consommateurs!$D$21:$XFD$21&lt;B1_Calculs!B52)*E3_Consommateurs!$D$18:$XFD$18)+SUMPRODUCT((E3_Consommateurs!$D$21:$XFD$21=B1_Calculs!B52)*E3_Consommateurs!$D$18:$XFD$18*E3_Consommateurs!$D$20:$XFD$20))/(100-Eing_Netzverluste)*100*(1-'E1_Données de projet'!$D$19/100)^(B1_Calculs!B52-'E1_Données de projet'!$D$22)</f>
        <v>1805.0607443088768</v>
      </c>
      <c r="D52" s="135">
        <f t="shared" si="1"/>
        <v>86.874581276897814</v>
      </c>
      <c r="E52" s="136">
        <f t="shared" si="2"/>
        <v>98949.913113241651</v>
      </c>
      <c r="F52" s="137">
        <f t="shared" si="3"/>
        <v>31748.635223499987</v>
      </c>
      <c r="G52" s="137">
        <f t="shared" si="4"/>
        <v>6349.7270446999964</v>
      </c>
      <c r="H52" s="137">
        <f>($F$19*(1+$G$19)^(B52-B$36)+$F$20*(1+$G$20)^(B52-B$36))*(B52&gt;='E1_Données de projet'!$D$22)*VLOOKUP(B52,'E1_Données de projet'!$D$58:$I$60,6)/100</f>
        <v>21106.415608626579</v>
      </c>
      <c r="I52" s="137">
        <f>$F$21*(1+$G$21)^(B52-B$36)*(B52&gt;='E1_Données de projet'!$D$22)*VLOOKUP(B52,'E1_Données de projet'!$D$58:$I$60,6)/100</f>
        <v>28024.629613676396</v>
      </c>
      <c r="J52" s="137">
        <f t="shared" si="10"/>
        <v>20402.86842167236</v>
      </c>
      <c r="K52" s="138"/>
      <c r="L52" s="139"/>
      <c r="M52" s="134">
        <f t="shared" si="5"/>
        <v>0</v>
      </c>
      <c r="N52" s="137">
        <f>+('E1_Données de projet'!$D$48*(1+Eing_allg_Teuerung/100)^('E1_Données de projet'!$I$48*ROUNDDOWN((AD52-1)/'E1_Données de projet'!$I$48,0))/'E1_Données de projet'!$I$48
+'E1_Données de projet'!$D$49*(1+Eing_allg_Teuerung/100)^('E1_Données de projet'!$I$49*ROUNDDOWN((AD52-1)/'E1_Données de projet'!$I$49,0))/'E1_Données de projet'!$I$49
+'E1_Données de projet'!$D$50*(1+Eing_allg_Teuerung/100)^('E1_Données de projet'!$I$50*ROUNDDOWN((AD52-1)/'E1_Données de projet'!$I$50,0))/'E1_Données de projet'!$I$50
+'E1_Données de projet'!$D$51*(1+Eing_allg_Teuerung/100)^('E1_Données de projet'!$I$51*ROUNDDOWN((AD52-1)/'E1_Données de projet'!$I$51,0))/'E1_Données de projet'!$I$51
+'E1_Données de projet'!$D$52*(1+Eing_allg_Teuerung/100)^('E1_Données de projet'!$I$52*ROUNDDOWN((AD52-1)/'E1_Données de projet'!$I$52,0))/'E1_Données de projet'!$I$52
+'E1_Données de projet'!$D$53*(1+Eing_allg_Teuerung/100)^('E1_Données de projet'!$I$53*ROUNDDOWN((AD52-1)/'E1_Données de projet'!$I$53,0))/'E1_Données de projet'!$I$53
)*((AD52)&gt;0)*VLOOKUP(B52,'E1_Données de projet'!$D$58:$I$60,6
)/100</f>
        <v>43833.333333333343</v>
      </c>
      <c r="O52" s="140">
        <f t="shared" si="11"/>
        <v>250415.52235875031</v>
      </c>
      <c r="P52" s="136">
        <f>SUM((SUMPRODUCT((E3_Consommateurs!$D$21:$XFD$21&lt;B1_Calculs!B52)*E3_Consommateurs!$D$25:$XFD$25)+SUMPRODUCT((E3_Consommateurs!$D$21:$XFD$21=B1_Calculs!B52)*E3_Consommateurs!$D$25:$XFD$25*E3_Consommateurs!$D$20:$XFD$20))*(1+$G$24)^(B52-B$36),(SUMPRODUCT((E3_Consommateurs!$D$21:$XFD$21&lt;B1_Calculs!B52)*E3_Consommateurs!$D$26:$XFD$26)+SUMPRODUCT((E3_Consommateurs!$D$21:$XFD$21=B1_Calculs!B52)*E3_Consommateurs!$D$26:$XFD$26*E3_Consommateurs!$D$20:$XFD$20))*((1+$G$24)*(1-'E1_Données de projet'!$D$19/100))^(B52-B$36))</f>
        <v>299327.20314023539</v>
      </c>
      <c r="Q52" s="137">
        <f>SUMPRODUCT((E3_Consommateurs!$D$21:$XFD$21=B1_Calculs!B52)*E3_Consommateurs!$D$23:$XFD$23)</f>
        <v>0</v>
      </c>
      <c r="R52" s="261">
        <f>SUM(jährlicher_Förderbeitrag*(B52-Erstauszahlung_jährlFörderung&lt;=Eing_Förderung_wiederholend_Laufzeit-1)*(B52&gt;='E1_Données de projet'!$D$83),'E1_Données de projet'!$D$76*(B52='E1_Données de projet'!$D$77),'E1_Données de projet'!$D$78*(B52='E1_Données de projet'!$D$79))</f>
        <v>10000</v>
      </c>
      <c r="S52" s="138"/>
      <c r="T52" s="141"/>
      <c r="U52" s="140">
        <f t="shared" si="12"/>
        <v>309327.20314023539</v>
      </c>
      <c r="V52" s="142">
        <f t="shared" si="13"/>
        <v>58911.680781485076</v>
      </c>
      <c r="W52" s="140">
        <f t="shared" si="18"/>
        <v>1206500.3968728872</v>
      </c>
      <c r="X52" s="137">
        <f>'E1_Données de projet'!$D$48*(AD52-1='E1_Données de projet'!$I$48)*(1+Eing_allg_Teuerung/100)^'E1_Données de projet'!$I$48
+'E1_Données de projet'!$D$49*(AD52-1='E1_Données de projet'!$I$49)*(1+Eing_allg_Teuerung/100)^'E1_Données de projet'!$I$49
+'E1_Données de projet'!$D$50*(AD52-1='E1_Données de projet'!$I$50)*(1+Eing_allg_Teuerung/100)^'E1_Données de projet'!$I$50
+'E1_Données de projet'!$D$51*(AD52-1='E1_Données de projet'!$I$51)*(1+Eing_allg_Teuerung/100)^'E1_Données de projet'!$I$51
+'E1_Données de projet'!$D$52*(AD52-1='E1_Données de projet'!$I$52)*(1+Eing_allg_Teuerung/100)^'E1_Données de projet'!$I$52
+'E1_Données de projet'!$D$53*(AD52-1='E1_Données de projet'!$I$53)*(1+Eing_allg_Teuerung/100)^'E1_Données de projet'!$I$53
+Gesamtinvestition*SUMPRODUCT(('E1_Données de projet'!$D$58:$D$60=B52)*'E1_Données de projet'!$F$58:$F$60)/100</f>
        <v>0</v>
      </c>
      <c r="Y52" s="143">
        <f t="shared" si="6"/>
        <v>0</v>
      </c>
      <c r="Z52" s="134">
        <f t="shared" si="7"/>
        <v>0</v>
      </c>
      <c r="AA52" s="136">
        <f t="shared" si="14"/>
        <v>102745.01411481842</v>
      </c>
      <c r="AB52" s="144">
        <f t="shared" si="15"/>
        <v>229000.39687288716</v>
      </c>
      <c r="AC52" s="145"/>
      <c r="AD52" s="146">
        <f>MAX(B1_Calculs!B52+1-'E1_Données de projet'!$D$22,0)</f>
        <v>15</v>
      </c>
      <c r="AE52" s="147">
        <f t="shared" si="8"/>
        <v>0</v>
      </c>
      <c r="AF52" s="148">
        <f>'E1_Données de projet'!$D$48*(AD52-1='E1_Données de projet'!$I$48)*(1+Eing_allg_Teuerung/100)^'E1_Données de projet'!$I$48
+'E1_Données de projet'!$D$49*(AD52-1='E1_Données de projet'!$I$49)*(1+Eing_allg_Teuerung/100)^'E1_Données de projet'!$I$49
+'E1_Données de projet'!$D$50*(AD52-1='E1_Données de projet'!$I$50)*(1+Eing_allg_Teuerung/100)^'E1_Données de projet'!$I$50
+'E1_Données de projet'!$D$51*(AD52-1='E1_Données de projet'!$I$51)*(1+Eing_allg_Teuerung/100)^'E1_Données de projet'!$I$51
+'E1_Données de projet'!$D$52*(AD52-1='E1_Données de projet'!$I$52)*(1+Eing_allg_Teuerung/100)^'E1_Données de projet'!$I$52
+'E1_Données de projet'!$D$53*(AD52-1='E1_Données de projet'!$I$53)*(1+Eing_allg_Teuerung/100)^'E1_Données de projet'!$I$53
+(Gesamtinvestition-SUM('E1_Données de projet'!$D$54:$D$55))*SUMPRODUCT(('E1_Données de projet'!$D$58:$D$60=B52)*'E1_Données de projet'!$F$58:$F$60)/100+AF51-N52</f>
        <v>762500.00000000035</v>
      </c>
      <c r="AG52" s="149">
        <f>IF(ISNUMBER(IRR((AJ$36:AJ51,AI52))),IRR((AJ$36:AJ51,AI52)),"-")</f>
        <v>6.1456500049680063E-2</v>
      </c>
      <c r="AH52" s="150">
        <f t="shared" si="9"/>
        <v>2038</v>
      </c>
      <c r="AI52" s="151">
        <f t="shared" si="19"/>
        <v>865245.01411481877</v>
      </c>
      <c r="AJ52" s="151">
        <f t="shared" si="16"/>
        <v>102745.01411481842</v>
      </c>
    </row>
    <row r="53" spans="2:36" ht="12.95" customHeight="1" x14ac:dyDescent="0.2">
      <c r="B53" s="133">
        <f t="shared" si="17"/>
        <v>2039</v>
      </c>
      <c r="C53" s="134">
        <f>(SUMPRODUCT((E3_Consommateurs!$D$21:$XFD$21&lt;B1_Calculs!B53)*E3_Consommateurs!$D$18:$XFD$18)+SUMPRODUCT((E3_Consommateurs!$D$21:$XFD$21=B1_Calculs!B53)*E3_Consommateurs!$D$18:$XFD$18*E3_Consommateurs!$D$20:$XFD$20))/(100-Eing_Netzverluste)*100*(1-'E1_Données de projet'!$D$19/100)^(B1_Calculs!B53-'E1_Données de projet'!$D$22)</f>
        <v>1787.0101368657879</v>
      </c>
      <c r="D53" s="135">
        <f t="shared" si="1"/>
        <v>86.005835464128836</v>
      </c>
      <c r="E53" s="136">
        <f t="shared" si="2"/>
        <v>98940.018121930319</v>
      </c>
      <c r="F53" s="137">
        <f t="shared" si="3"/>
        <v>31745.460359977642</v>
      </c>
      <c r="G53" s="137">
        <f t="shared" si="4"/>
        <v>6349.0920719955275</v>
      </c>
      <c r="H53" s="137">
        <f>($F$19*(1+$G$19)^(B53-B$36)+$F$20*(1+$G$20)^(B53-B$36))*(B53&gt;='E1_Données de projet'!$D$22)*VLOOKUP(B53,'E1_Données de projet'!$D$58:$I$60,6)/100</f>
        <v>21317.479764712847</v>
      </c>
      <c r="I53" s="137">
        <f>$F$21*(1+$G$21)^(B53-B$36)*(B53&gt;='E1_Données de projet'!$D$22)*VLOOKUP(B53,'E1_Données de projet'!$D$58:$I$60,6)/100</f>
        <v>28304.875909813167</v>
      </c>
      <c r="J53" s="137">
        <f t="shared" si="10"/>
        <v>20606.897105889086</v>
      </c>
      <c r="K53" s="138"/>
      <c r="L53" s="139"/>
      <c r="M53" s="134">
        <f t="shared" si="5"/>
        <v>0</v>
      </c>
      <c r="N53" s="137">
        <f>+('E1_Données de projet'!$D$48*(1+Eing_allg_Teuerung/100)^('E1_Données de projet'!$I$48*ROUNDDOWN((AD53-1)/'E1_Données de projet'!$I$48,0))/'E1_Données de projet'!$I$48
+'E1_Données de projet'!$D$49*(1+Eing_allg_Teuerung/100)^('E1_Données de projet'!$I$49*ROUNDDOWN((AD53-1)/'E1_Données de projet'!$I$49,0))/'E1_Données de projet'!$I$49
+'E1_Données de projet'!$D$50*(1+Eing_allg_Teuerung/100)^('E1_Données de projet'!$I$50*ROUNDDOWN((AD53-1)/'E1_Données de projet'!$I$50,0))/'E1_Données de projet'!$I$50
+'E1_Données de projet'!$D$51*(1+Eing_allg_Teuerung/100)^('E1_Données de projet'!$I$51*ROUNDDOWN((AD53-1)/'E1_Données de projet'!$I$51,0))/'E1_Données de projet'!$I$51
+'E1_Données de projet'!$D$52*(1+Eing_allg_Teuerung/100)^('E1_Données de projet'!$I$52*ROUNDDOWN((AD53-1)/'E1_Données de projet'!$I$52,0))/'E1_Données de projet'!$I$52
+'E1_Données de projet'!$D$53*(1+Eing_allg_Teuerung/100)^('E1_Données de projet'!$I$53*ROUNDDOWN((AD53-1)/'E1_Données de projet'!$I$53,0))/'E1_Données de projet'!$I$53
)*((AD53)&gt;0)*VLOOKUP(B53,'E1_Données de projet'!$D$58:$I$60,6
)/100</f>
        <v>44047.958607159999</v>
      </c>
      <c r="O53" s="140">
        <f t="shared" si="11"/>
        <v>251311.78194147858</v>
      </c>
      <c r="P53" s="136">
        <f>SUM((SUMPRODUCT((E3_Consommateurs!$D$21:$XFD$21&lt;B1_Calculs!B53)*E3_Consommateurs!$D$25:$XFD$25)+SUMPRODUCT((E3_Consommateurs!$D$21:$XFD$21=B1_Calculs!B53)*E3_Consommateurs!$D$25:$XFD$25*E3_Consommateurs!$D$20:$XFD$20))*(1+$G$24)^(B53-B$36),(SUMPRODUCT((E3_Consommateurs!$D$21:$XFD$21&lt;B1_Calculs!B53)*E3_Consommateurs!$D$26:$XFD$26)+SUMPRODUCT((E3_Consommateurs!$D$21:$XFD$21=B1_Calculs!B53)*E3_Consommateurs!$D$26:$XFD$26*E3_Consommateurs!$D$20:$XFD$20))*((1+$G$24)*(1-'E1_Données de projet'!$D$19/100))^(B53-B$36))</f>
        <v>300434.79482625506</v>
      </c>
      <c r="Q53" s="137">
        <f>SUMPRODUCT((E3_Consommateurs!$D$21:$XFD$21=B1_Calculs!B53)*E3_Consommateurs!$D$23:$XFD$23)</f>
        <v>0</v>
      </c>
      <c r="R53" s="261">
        <f>SUM(jährlicher_Förderbeitrag*(B53-Erstauszahlung_jährlFörderung&lt;=Eing_Förderung_wiederholend_Laufzeit-1)*(B53&gt;='E1_Données de projet'!$D$83),'E1_Données de projet'!$D$76*(B53='E1_Données de projet'!$D$77),'E1_Données de projet'!$D$78*(B53='E1_Données de projet'!$D$79))</f>
        <v>10000</v>
      </c>
      <c r="S53" s="138"/>
      <c r="T53" s="141"/>
      <c r="U53" s="140">
        <f t="shared" si="12"/>
        <v>310434.79482625506</v>
      </c>
      <c r="V53" s="142">
        <f t="shared" si="13"/>
        <v>59123.012884776486</v>
      </c>
      <c r="W53" s="140">
        <f t="shared" si="18"/>
        <v>1265623.4097576637</v>
      </c>
      <c r="X53" s="137">
        <f>'E1_Données de projet'!$D$48*(AD53-1='E1_Données de projet'!$I$48)*(1+Eing_allg_Teuerung/100)^'E1_Données de projet'!$I$48
+'E1_Données de projet'!$D$49*(AD53-1='E1_Données de projet'!$I$49)*(1+Eing_allg_Teuerung/100)^'E1_Données de projet'!$I$49
+'E1_Données de projet'!$D$50*(AD53-1='E1_Données de projet'!$I$50)*(1+Eing_allg_Teuerung/100)^'E1_Données de projet'!$I$50
+'E1_Données de projet'!$D$51*(AD53-1='E1_Données de projet'!$I$51)*(1+Eing_allg_Teuerung/100)^'E1_Données de projet'!$I$51
+'E1_Données de projet'!$D$52*(AD53-1='E1_Données de projet'!$I$52)*(1+Eing_allg_Teuerung/100)^'E1_Données de projet'!$I$52
+'E1_Données de projet'!$D$53*(AD53-1='E1_Données de projet'!$I$53)*(1+Eing_allg_Teuerung/100)^'E1_Données de projet'!$I$53
+Gesamtinvestition*SUMPRODUCT(('E1_Données de projet'!$D$58:$D$60=B53)*'E1_Données de projet'!$F$58:$F$60)/100</f>
        <v>23219.379107399967</v>
      </c>
      <c r="Y53" s="143">
        <f t="shared" si="6"/>
        <v>0</v>
      </c>
      <c r="Z53" s="134">
        <f t="shared" si="7"/>
        <v>0</v>
      </c>
      <c r="AA53" s="136">
        <f t="shared" si="14"/>
        <v>79951.592384536518</v>
      </c>
      <c r="AB53" s="144">
        <f t="shared" si="15"/>
        <v>308951.98925742367</v>
      </c>
      <c r="AC53" s="145"/>
      <c r="AD53" s="146">
        <f>MAX(B1_Calculs!B53+1-'E1_Données de projet'!$D$22,0)</f>
        <v>16</v>
      </c>
      <c r="AE53" s="147">
        <f t="shared" si="8"/>
        <v>0</v>
      </c>
      <c r="AF53" s="148">
        <f>'E1_Données de projet'!$D$48*(AD53-1='E1_Données de projet'!$I$48)*(1+Eing_allg_Teuerung/100)^'E1_Données de projet'!$I$48
+'E1_Données de projet'!$D$49*(AD53-1='E1_Données de projet'!$I$49)*(1+Eing_allg_Teuerung/100)^'E1_Données de projet'!$I$49
+'E1_Données de projet'!$D$50*(AD53-1='E1_Données de projet'!$I$50)*(1+Eing_allg_Teuerung/100)^'E1_Données de projet'!$I$50
+'E1_Données de projet'!$D$51*(AD53-1='E1_Données de projet'!$I$51)*(1+Eing_allg_Teuerung/100)^'E1_Données de projet'!$I$51
+'E1_Données de projet'!$D$52*(AD53-1='E1_Données de projet'!$I$52)*(1+Eing_allg_Teuerung/100)^'E1_Données de projet'!$I$52
+'E1_Données de projet'!$D$53*(AD53-1='E1_Données de projet'!$I$53)*(1+Eing_allg_Teuerung/100)^'E1_Données de projet'!$I$53
+(Gesamtinvestition-SUM('E1_Données de projet'!$D$54:$D$55))*SUMPRODUCT(('E1_Données de projet'!$D$58:$D$60=B53)*'E1_Données de projet'!$F$58:$F$60)/100+AF52-N53</f>
        <v>741671.42050024029</v>
      </c>
      <c r="AG53" s="149">
        <f>IF(ISNUMBER(IRR((AJ$36:AJ52,AI53))),IRR((AJ$36:AJ52,AI53)),"-")</f>
        <v>6.1881502277910228E-2</v>
      </c>
      <c r="AH53" s="150">
        <f t="shared" si="9"/>
        <v>2039</v>
      </c>
      <c r="AI53" s="151">
        <f t="shared" si="19"/>
        <v>821623.01288477681</v>
      </c>
      <c r="AJ53" s="151">
        <f t="shared" si="16"/>
        <v>79951.592384536518</v>
      </c>
    </row>
    <row r="54" spans="2:36" ht="12.95" customHeight="1" x14ac:dyDescent="0.2">
      <c r="B54" s="133">
        <f t="shared" si="17"/>
        <v>2040</v>
      </c>
      <c r="C54" s="134">
        <f>(SUMPRODUCT((E3_Consommateurs!$D$21:$XFD$21&lt;B1_Calculs!B54)*E3_Consommateurs!$D$18:$XFD$18)+SUMPRODUCT((E3_Consommateurs!$D$21:$XFD$21=B1_Calculs!B54)*E3_Consommateurs!$D$18:$XFD$18*E3_Consommateurs!$D$20:$XFD$20))/(100-Eing_Netzverluste)*100*(1-'E1_Données de projet'!$D$19/100)^(B1_Calculs!B54-'E1_Données de projet'!$D$22)</f>
        <v>1769.1400354971302</v>
      </c>
      <c r="D54" s="135">
        <f t="shared" si="1"/>
        <v>85.14577710948754</v>
      </c>
      <c r="E54" s="136">
        <f t="shared" si="2"/>
        <v>98930.124120118126</v>
      </c>
      <c r="F54" s="137">
        <f t="shared" si="3"/>
        <v>31742.285813941642</v>
      </c>
      <c r="G54" s="137">
        <f t="shared" si="4"/>
        <v>6348.4571627883288</v>
      </c>
      <c r="H54" s="137">
        <f>($F$19*(1+$G$19)^(B54-B$36)+$F$20*(1+$G$20)^(B54-B$36))*(B54&gt;='E1_Données de projet'!$D$22)*VLOOKUP(B54,'E1_Données de projet'!$D$58:$I$60,6)/100</f>
        <v>21530.654562359974</v>
      </c>
      <c r="I54" s="137">
        <f>$F$21*(1+$G$21)^(B54-B$36)*(B54&gt;='E1_Données de projet'!$D$22)*VLOOKUP(B54,'E1_Données de projet'!$D$58:$I$60,6)/100</f>
        <v>28587.924668911299</v>
      </c>
      <c r="J54" s="137">
        <f t="shared" si="10"/>
        <v>20812.966076947978</v>
      </c>
      <c r="K54" s="138"/>
      <c r="L54" s="139"/>
      <c r="M54" s="134">
        <f t="shared" si="5"/>
        <v>0</v>
      </c>
      <c r="N54" s="137">
        <f>+('E1_Données de projet'!$D$48*(1+Eing_allg_Teuerung/100)^('E1_Données de projet'!$I$48*ROUNDDOWN((AD54-1)/'E1_Données de projet'!$I$48,0))/'E1_Données de projet'!$I$48
+'E1_Données de projet'!$D$49*(1+Eing_allg_Teuerung/100)^('E1_Données de projet'!$I$49*ROUNDDOWN((AD54-1)/'E1_Données de projet'!$I$49,0))/'E1_Données de projet'!$I$49
+'E1_Données de projet'!$D$50*(1+Eing_allg_Teuerung/100)^('E1_Données de projet'!$I$50*ROUNDDOWN((AD54-1)/'E1_Données de projet'!$I$50,0))/'E1_Données de projet'!$I$50
+'E1_Données de projet'!$D$51*(1+Eing_allg_Teuerung/100)^('E1_Données de projet'!$I$51*ROUNDDOWN((AD54-1)/'E1_Données de projet'!$I$51,0))/'E1_Données de projet'!$I$51
+'E1_Données de projet'!$D$52*(1+Eing_allg_Teuerung/100)^('E1_Données de projet'!$I$52*ROUNDDOWN((AD54-1)/'E1_Données de projet'!$I$52,0))/'E1_Données de projet'!$I$52
+'E1_Données de projet'!$D$53*(1+Eing_allg_Teuerung/100)^('E1_Données de projet'!$I$53*ROUNDDOWN((AD54-1)/'E1_Données de projet'!$I$53,0))/'E1_Données de projet'!$I$53
)*((AD54)&gt;0)*VLOOKUP(B54,'E1_Données de projet'!$D$58:$I$60,6
)/100</f>
        <v>44047.958607159999</v>
      </c>
      <c r="O54" s="140">
        <f t="shared" si="11"/>
        <v>252000.37101222735</v>
      </c>
      <c r="P54" s="136">
        <f>SUM((SUMPRODUCT((E3_Consommateurs!$D$21:$XFD$21&lt;B1_Calculs!B54)*E3_Consommateurs!$D$25:$XFD$25)+SUMPRODUCT((E3_Consommateurs!$D$21:$XFD$21=B1_Calculs!B54)*E3_Consommateurs!$D$25:$XFD$25*E3_Consommateurs!$D$20:$XFD$20))*(1+$G$24)^(B54-B$36),(SUMPRODUCT((E3_Consommateurs!$D$21:$XFD$21&lt;B1_Calculs!B54)*E3_Consommateurs!$D$26:$XFD$26)+SUMPRODUCT((E3_Consommateurs!$D$21:$XFD$21=B1_Calculs!B54)*E3_Consommateurs!$D$26:$XFD$26*E3_Consommateurs!$D$20:$XFD$20))*((1+$G$24)*(1-'E1_Données de projet'!$D$19/100))^(B54-B$36))</f>
        <v>301553.65099716949</v>
      </c>
      <c r="Q54" s="137">
        <f>SUMPRODUCT((E3_Consommateurs!$D$21:$XFD$21=B1_Calculs!B54)*E3_Consommateurs!$D$23:$XFD$23)</f>
        <v>0</v>
      </c>
      <c r="R54" s="261">
        <f>SUM(jährlicher_Förderbeitrag*(B54-Erstauszahlung_jährlFörderung&lt;=Eing_Förderung_wiederholend_Laufzeit-1)*(B54&gt;='E1_Données de projet'!$D$83),'E1_Données de projet'!$D$76*(B54='E1_Données de projet'!$D$77),'E1_Données de projet'!$D$78*(B54='E1_Données de projet'!$D$79))</f>
        <v>10000</v>
      </c>
      <c r="S54" s="138"/>
      <c r="T54" s="141"/>
      <c r="U54" s="140">
        <f t="shared" si="12"/>
        <v>311553.65099716949</v>
      </c>
      <c r="V54" s="142">
        <f t="shared" si="13"/>
        <v>59553.279984942143</v>
      </c>
      <c r="W54" s="140">
        <f t="shared" si="18"/>
        <v>1325176.6897426059</v>
      </c>
      <c r="X54" s="137">
        <f>'E1_Données de projet'!$D$48*(AD54-1='E1_Données de projet'!$I$48)*(1+Eing_allg_Teuerung/100)^'E1_Données de projet'!$I$48
+'E1_Données de projet'!$D$49*(AD54-1='E1_Données de projet'!$I$49)*(1+Eing_allg_Teuerung/100)^'E1_Données de projet'!$I$49
+'E1_Données de projet'!$D$50*(AD54-1='E1_Données de projet'!$I$50)*(1+Eing_allg_Teuerung/100)^'E1_Données de projet'!$I$50
+'E1_Données de projet'!$D$51*(AD54-1='E1_Données de projet'!$I$51)*(1+Eing_allg_Teuerung/100)^'E1_Données de projet'!$I$51
+'E1_Données de projet'!$D$52*(AD54-1='E1_Données de projet'!$I$52)*(1+Eing_allg_Teuerung/100)^'E1_Données de projet'!$I$52
+'E1_Données de projet'!$D$53*(AD54-1='E1_Données de projet'!$I$53)*(1+Eing_allg_Teuerung/100)^'E1_Données de projet'!$I$53
+Gesamtinvestition*SUMPRODUCT(('E1_Données de projet'!$D$58:$D$60=B54)*'E1_Données de projet'!$F$58:$F$60)/100</f>
        <v>0</v>
      </c>
      <c r="Y54" s="143">
        <f t="shared" si="6"/>
        <v>0</v>
      </c>
      <c r="Z54" s="134">
        <f t="shared" si="7"/>
        <v>0</v>
      </c>
      <c r="AA54" s="136">
        <f t="shared" si="14"/>
        <v>103601.23859210213</v>
      </c>
      <c r="AB54" s="144">
        <f t="shared" si="15"/>
        <v>412553.22784952581</v>
      </c>
      <c r="AC54" s="145"/>
      <c r="AD54" s="131">
        <f>MAX(B1_Calculs!B54+1-'E1_Données de projet'!$D$22,0)</f>
        <v>17</v>
      </c>
      <c r="AE54" s="147">
        <f t="shared" si="8"/>
        <v>0</v>
      </c>
      <c r="AF54" s="148">
        <f>'E1_Données de projet'!$D$48*(AD54-1='E1_Données de projet'!$I$48)*(1+Eing_allg_Teuerung/100)^'E1_Données de projet'!$I$48
+'E1_Données de projet'!$D$49*(AD54-1='E1_Données de projet'!$I$49)*(1+Eing_allg_Teuerung/100)^'E1_Données de projet'!$I$49
+'E1_Données de projet'!$D$50*(AD54-1='E1_Données de projet'!$I$50)*(1+Eing_allg_Teuerung/100)^'E1_Données de projet'!$I$50
+'E1_Données de projet'!$D$51*(AD54-1='E1_Données de projet'!$I$51)*(1+Eing_allg_Teuerung/100)^'E1_Données de projet'!$I$51
+'E1_Données de projet'!$D$52*(AD54-1='E1_Données de projet'!$I$52)*(1+Eing_allg_Teuerung/100)^'E1_Données de projet'!$I$52
+'E1_Données de projet'!$D$53*(AD54-1='E1_Données de projet'!$I$53)*(1+Eing_allg_Teuerung/100)^'E1_Données de projet'!$I$53
+(Gesamtinvestition-SUM('E1_Données de projet'!$D$54:$D$55))*SUMPRODUCT(('E1_Données de projet'!$D$58:$D$60=B54)*'E1_Données de projet'!$F$58:$F$60)/100+AF53-N54</f>
        <v>697623.46189308027</v>
      </c>
      <c r="AG54" s="149">
        <f>IF(ISNUMBER(IRR((AJ$36:AJ53,AI54))),IRR((AJ$36:AJ53,AI54)),"-")</f>
        <v>6.2313317482925568E-2</v>
      </c>
      <c r="AH54" s="150">
        <f t="shared" si="9"/>
        <v>2040</v>
      </c>
      <c r="AI54" s="151">
        <f t="shared" si="19"/>
        <v>801224.70048518246</v>
      </c>
      <c r="AJ54" s="151">
        <f t="shared" si="16"/>
        <v>103601.23859210213</v>
      </c>
    </row>
    <row r="55" spans="2:36" ht="12.95" customHeight="1" x14ac:dyDescent="0.2">
      <c r="B55" s="133">
        <f t="shared" si="17"/>
        <v>2041</v>
      </c>
      <c r="C55" s="134">
        <f>(SUMPRODUCT((E3_Consommateurs!$D$21:$XFD$21&lt;B1_Calculs!B55)*E3_Consommateurs!$D$18:$XFD$18)+SUMPRODUCT((E3_Consommateurs!$D$21:$XFD$21=B1_Calculs!B55)*E3_Consommateurs!$D$18:$XFD$18*E3_Consommateurs!$D$20:$XFD$20))/(100-Eing_Netzverluste)*100*(1-'E1_Données de projet'!$D$19/100)^(B1_Calculs!B55-'E1_Données de projet'!$D$22)</f>
        <v>1751.4486351421588</v>
      </c>
      <c r="D55" s="135">
        <f t="shared" si="1"/>
        <v>84.294319338392668</v>
      </c>
      <c r="E55" s="136">
        <f t="shared" si="2"/>
        <v>98920.231107706073</v>
      </c>
      <c r="F55" s="137">
        <f t="shared" si="3"/>
        <v>31739.111585360242</v>
      </c>
      <c r="G55" s="137">
        <f t="shared" si="4"/>
        <v>6347.8223170720476</v>
      </c>
      <c r="H55" s="137">
        <f>($F$19*(1+$G$19)^(B55-B$36)+$F$20*(1+$G$20)^(B55-B$36))*(B55&gt;='E1_Données de projet'!$D$22)*VLOOKUP(B55,'E1_Données de projet'!$D$58:$I$60,6)/100</f>
        <v>21745.961107983567</v>
      </c>
      <c r="I55" s="137">
        <f>$F$21*(1+$G$21)^(B55-B$36)*(B55&gt;='E1_Données de projet'!$D$22)*VLOOKUP(B55,'E1_Données de projet'!$D$58:$I$60,6)/100</f>
        <v>28873.803915600405</v>
      </c>
      <c r="J55" s="137">
        <f t="shared" si="10"/>
        <v>21021.095737717453</v>
      </c>
      <c r="K55" s="138"/>
      <c r="L55" s="139"/>
      <c r="M55" s="134">
        <f t="shared" si="5"/>
        <v>0</v>
      </c>
      <c r="N55" s="137">
        <f>+('E1_Données de projet'!$D$48*(1+Eing_allg_Teuerung/100)^('E1_Données de projet'!$I$48*ROUNDDOWN((AD55-1)/'E1_Données de projet'!$I$48,0))/'E1_Données de projet'!$I$48
+'E1_Données de projet'!$D$49*(1+Eing_allg_Teuerung/100)^('E1_Données de projet'!$I$49*ROUNDDOWN((AD55-1)/'E1_Données de projet'!$I$49,0))/'E1_Données de projet'!$I$49
+'E1_Données de projet'!$D$50*(1+Eing_allg_Teuerung/100)^('E1_Données de projet'!$I$50*ROUNDDOWN((AD55-1)/'E1_Données de projet'!$I$50,0))/'E1_Données de projet'!$I$50
+'E1_Données de projet'!$D$51*(1+Eing_allg_Teuerung/100)^('E1_Données de projet'!$I$51*ROUNDDOWN((AD55-1)/'E1_Données de projet'!$I$51,0))/'E1_Données de projet'!$I$51
+'E1_Données de projet'!$D$52*(1+Eing_allg_Teuerung/100)^('E1_Données de projet'!$I$52*ROUNDDOWN((AD55-1)/'E1_Données de projet'!$I$52,0))/'E1_Données de projet'!$I$52
+'E1_Données de projet'!$D$53*(1+Eing_allg_Teuerung/100)^('E1_Données de projet'!$I$53*ROUNDDOWN((AD55-1)/'E1_Données de projet'!$I$53,0))/'E1_Données de projet'!$I$53
)*((AD55)&gt;0)*VLOOKUP(B55,'E1_Données de projet'!$D$58:$I$60,6
)/100</f>
        <v>44047.958607159999</v>
      </c>
      <c r="O55" s="140">
        <f t="shared" si="11"/>
        <v>252695.98437859979</v>
      </c>
      <c r="P55" s="136">
        <f>SUM((SUMPRODUCT((E3_Consommateurs!$D$21:$XFD$21&lt;B1_Calculs!B55)*E3_Consommateurs!$D$25:$XFD$25)+SUMPRODUCT((E3_Consommateurs!$D$21:$XFD$21=B1_Calculs!B55)*E3_Consommateurs!$D$25:$XFD$25*E3_Consommateurs!$D$20:$XFD$20))*(1+$G$24)^(B55-B$36),(SUMPRODUCT((E3_Consommateurs!$D$21:$XFD$21&lt;B1_Calculs!B55)*E3_Consommateurs!$D$26:$XFD$26)+SUMPRODUCT((E3_Consommateurs!$D$21:$XFD$21=B1_Calculs!B55)*E3_Consommateurs!$D$26:$XFD$26*E3_Consommateurs!$D$20:$XFD$20))*((1+$G$24)*(1-'E1_Données de projet'!$D$19/100))^(B55-B$36))</f>
        <v>302683.88427897077</v>
      </c>
      <c r="Q55" s="137">
        <f>SUMPRODUCT((E3_Consommateurs!$D$21:$XFD$21=B1_Calculs!B55)*E3_Consommateurs!$D$23:$XFD$23)</f>
        <v>0</v>
      </c>
      <c r="R55" s="261">
        <f>SUM(jährlicher_Förderbeitrag*(B55-Erstauszahlung_jährlFörderung&lt;=Eing_Förderung_wiederholend_Laufzeit-1)*(B55&gt;='E1_Données de projet'!$D$83),'E1_Données de projet'!$D$76*(B55='E1_Données de projet'!$D$77),'E1_Données de projet'!$D$78*(B55='E1_Données de projet'!$D$79))</f>
        <v>0</v>
      </c>
      <c r="S55" s="138"/>
      <c r="T55" s="141"/>
      <c r="U55" s="140">
        <f t="shared" si="12"/>
        <v>302683.88427897077</v>
      </c>
      <c r="V55" s="142">
        <f t="shared" si="13"/>
        <v>49987.899900370976</v>
      </c>
      <c r="W55" s="140">
        <f t="shared" si="18"/>
        <v>1375164.5896429769</v>
      </c>
      <c r="X55" s="137">
        <f>'E1_Données de projet'!$D$48*(AD55-1='E1_Données de projet'!$I$48)*(1+Eing_allg_Teuerung/100)^'E1_Données de projet'!$I$48
+'E1_Données de projet'!$D$49*(AD55-1='E1_Données de projet'!$I$49)*(1+Eing_allg_Teuerung/100)^'E1_Données de projet'!$I$49
+'E1_Données de projet'!$D$50*(AD55-1='E1_Données de projet'!$I$50)*(1+Eing_allg_Teuerung/100)^'E1_Données de projet'!$I$50
+'E1_Données de projet'!$D$51*(AD55-1='E1_Données de projet'!$I$51)*(1+Eing_allg_Teuerung/100)^'E1_Données de projet'!$I$51
+'E1_Données de projet'!$D$52*(AD55-1='E1_Données de projet'!$I$52)*(1+Eing_allg_Teuerung/100)^'E1_Données de projet'!$I$52
+'E1_Données de projet'!$D$53*(AD55-1='E1_Données de projet'!$I$53)*(1+Eing_allg_Teuerung/100)^'E1_Données de projet'!$I$53
+Gesamtinvestition*SUMPRODUCT(('E1_Données de projet'!$D$58:$D$60=B55)*'E1_Données de projet'!$F$58:$F$60)/100</f>
        <v>0</v>
      </c>
      <c r="Y55" s="143">
        <f t="shared" si="6"/>
        <v>0</v>
      </c>
      <c r="Z55" s="134">
        <f t="shared" si="7"/>
        <v>0</v>
      </c>
      <c r="AA55" s="136">
        <f t="shared" si="14"/>
        <v>94035.858507530967</v>
      </c>
      <c r="AB55" s="144">
        <f t="shared" si="15"/>
        <v>506589.08635705675</v>
      </c>
      <c r="AC55" s="145"/>
      <c r="AD55" s="146">
        <f>MAX(B1_Calculs!B55+1-'E1_Données de projet'!$D$22,0)</f>
        <v>18</v>
      </c>
      <c r="AE55" s="147">
        <f t="shared" si="8"/>
        <v>0</v>
      </c>
      <c r="AF55" s="148">
        <f>'E1_Données de projet'!$D$48*(AD55-1='E1_Données de projet'!$I$48)*(1+Eing_allg_Teuerung/100)^'E1_Données de projet'!$I$48
+'E1_Données de projet'!$D$49*(AD55-1='E1_Données de projet'!$I$49)*(1+Eing_allg_Teuerung/100)^'E1_Données de projet'!$I$49
+'E1_Données de projet'!$D$50*(AD55-1='E1_Données de projet'!$I$50)*(1+Eing_allg_Teuerung/100)^'E1_Données de projet'!$I$50
+'E1_Données de projet'!$D$51*(AD55-1='E1_Données de projet'!$I$51)*(1+Eing_allg_Teuerung/100)^'E1_Données de projet'!$I$51
+'E1_Données de projet'!$D$52*(AD55-1='E1_Données de projet'!$I$52)*(1+Eing_allg_Teuerung/100)^'E1_Données de projet'!$I$52
+'E1_Données de projet'!$D$53*(AD55-1='E1_Données de projet'!$I$53)*(1+Eing_allg_Teuerung/100)^'E1_Données de projet'!$I$53
+(Gesamtinvestition-SUM('E1_Données de projet'!$D$54:$D$55))*SUMPRODUCT(('E1_Données de projet'!$D$58:$D$60=B55)*'E1_Données de projet'!$F$58:$F$60)/100+AF54-N55</f>
        <v>653575.50328592025</v>
      </c>
      <c r="AG55" s="149">
        <f>IF(ISNUMBER(IRR((AJ$36:AJ54,AI55))),IRR((AJ$36:AJ54,AI55)),"-")</f>
        <v>6.2502182023683961E-2</v>
      </c>
      <c r="AH55" s="150">
        <f t="shared" si="9"/>
        <v>2041</v>
      </c>
      <c r="AI55" s="151">
        <f t="shared" si="19"/>
        <v>747611.36179345124</v>
      </c>
      <c r="AJ55" s="151">
        <f t="shared" si="16"/>
        <v>94035.858507530967</v>
      </c>
    </row>
    <row r="56" spans="2:36" ht="12.95" customHeight="1" x14ac:dyDescent="0.2">
      <c r="B56" s="133">
        <f t="shared" si="17"/>
        <v>2042</v>
      </c>
      <c r="C56" s="134">
        <f>(SUMPRODUCT((E3_Consommateurs!$D$21:$XFD$21&lt;B1_Calculs!B56)*E3_Consommateurs!$D$18:$XFD$18)+SUMPRODUCT((E3_Consommateurs!$D$21:$XFD$21=B1_Calculs!B56)*E3_Consommateurs!$D$18:$XFD$18*E3_Consommateurs!$D$20:$XFD$20))/(100-Eing_Netzverluste)*100*(1-'E1_Données de projet'!$D$19/100)^(B1_Calculs!B56-'E1_Données de projet'!$D$22)</f>
        <v>1733.9341487907373</v>
      </c>
      <c r="D56" s="135">
        <f t="shared" si="1"/>
        <v>83.451376145008737</v>
      </c>
      <c r="E56" s="136">
        <f t="shared" si="2"/>
        <v>98910.339084595325</v>
      </c>
      <c r="F56" s="137">
        <f t="shared" si="3"/>
        <v>31735.937674201708</v>
      </c>
      <c r="G56" s="137">
        <f t="shared" si="4"/>
        <v>6347.187534840341</v>
      </c>
      <c r="H56" s="137">
        <f>($F$19*(1+$G$19)^(B56-B$36)+$F$20*(1+$G$20)^(B56-B$36))*(B56&gt;='E1_Données de projet'!$D$22)*VLOOKUP(B56,'E1_Données de projet'!$D$58:$I$60,6)/100</f>
        <v>21963.420719063404</v>
      </c>
      <c r="I56" s="137">
        <f>$F$21*(1+$G$21)^(B56-B$36)*(B56&gt;='E1_Données de projet'!$D$22)*VLOOKUP(B56,'E1_Données de projet'!$D$58:$I$60,6)/100</f>
        <v>29162.541954756412</v>
      </c>
      <c r="J56" s="137">
        <f t="shared" si="10"/>
        <v>21231.306695094627</v>
      </c>
      <c r="K56" s="138"/>
      <c r="L56" s="139"/>
      <c r="M56" s="134">
        <f t="shared" si="5"/>
        <v>0</v>
      </c>
      <c r="N56" s="137">
        <f>+('E1_Données de projet'!$D$48*(1+Eing_allg_Teuerung/100)^('E1_Données de projet'!$I$48*ROUNDDOWN((AD56-1)/'E1_Données de projet'!$I$48,0))/'E1_Données de projet'!$I$48
+'E1_Données de projet'!$D$49*(1+Eing_allg_Teuerung/100)^('E1_Données de projet'!$I$49*ROUNDDOWN((AD56-1)/'E1_Données de projet'!$I$49,0))/'E1_Données de projet'!$I$49
+'E1_Données de projet'!$D$50*(1+Eing_allg_Teuerung/100)^('E1_Données de projet'!$I$50*ROUNDDOWN((AD56-1)/'E1_Données de projet'!$I$50,0))/'E1_Données de projet'!$I$50
+'E1_Données de projet'!$D$51*(1+Eing_allg_Teuerung/100)^('E1_Données de projet'!$I$51*ROUNDDOWN((AD56-1)/'E1_Données de projet'!$I$51,0))/'E1_Données de projet'!$I$51
+'E1_Données de projet'!$D$52*(1+Eing_allg_Teuerung/100)^('E1_Données de projet'!$I$52*ROUNDDOWN((AD56-1)/'E1_Données de projet'!$I$52,0))/'E1_Données de projet'!$I$52
+'E1_Données de projet'!$D$53*(1+Eing_allg_Teuerung/100)^('E1_Données de projet'!$I$53*ROUNDDOWN((AD56-1)/'E1_Données de projet'!$I$53,0))/'E1_Données de projet'!$I$53
)*((AD56)&gt;0)*VLOOKUP(B56,'E1_Données de projet'!$D$58:$I$60,6
)/100</f>
        <v>44047.958607159999</v>
      </c>
      <c r="O56" s="140">
        <f t="shared" si="11"/>
        <v>253398.69226971181</v>
      </c>
      <c r="P56" s="136">
        <f>SUM((SUMPRODUCT((E3_Consommateurs!$D$21:$XFD$21&lt;B1_Calculs!B56)*E3_Consommateurs!$D$25:$XFD$25)+SUMPRODUCT((E3_Consommateurs!$D$21:$XFD$21=B1_Calculs!B56)*E3_Consommateurs!$D$25:$XFD$25*E3_Consommateurs!$D$20:$XFD$20))*(1+$G$24)^(B56-B$36),(SUMPRODUCT((E3_Consommateurs!$D$21:$XFD$21&lt;B1_Calculs!B56)*E3_Consommateurs!$D$26:$XFD$26)+SUMPRODUCT((E3_Consommateurs!$D$21:$XFD$21=B1_Calculs!B56)*E3_Consommateurs!$D$26:$XFD$26*E3_Consommateurs!$D$20:$XFD$20))*((1+$G$24)*(1-'E1_Données de projet'!$D$19/100))^(B56-B$36))</f>
        <v>303825.6084239129</v>
      </c>
      <c r="Q56" s="137">
        <f>SUMPRODUCT((E3_Consommateurs!$D$21:$XFD$21=B1_Calculs!B56)*E3_Consommateurs!$D$23:$XFD$23)</f>
        <v>0</v>
      </c>
      <c r="R56" s="261">
        <f>SUM(jährlicher_Förderbeitrag*(B56-Erstauszahlung_jährlFörderung&lt;=Eing_Förderung_wiederholend_Laufzeit-1)*(B56&gt;='E1_Données de projet'!$D$83),'E1_Données de projet'!$D$76*(B56='E1_Données de projet'!$D$77),'E1_Données de projet'!$D$78*(B56='E1_Données de projet'!$D$79))</f>
        <v>0</v>
      </c>
      <c r="S56" s="138"/>
      <c r="T56" s="141"/>
      <c r="U56" s="140">
        <f t="shared" si="12"/>
        <v>303825.6084239129</v>
      </c>
      <c r="V56" s="142">
        <f t="shared" si="13"/>
        <v>50426.916154201084</v>
      </c>
      <c r="W56" s="140">
        <f t="shared" si="18"/>
        <v>1425591.505797178</v>
      </c>
      <c r="X56" s="137">
        <f>'E1_Données de projet'!$D$48*(AD56-1='E1_Données de projet'!$I$48)*(1+Eing_allg_Teuerung/100)^'E1_Données de projet'!$I$48
+'E1_Données de projet'!$D$49*(AD56-1='E1_Données de projet'!$I$49)*(1+Eing_allg_Teuerung/100)^'E1_Données de projet'!$I$49
+'E1_Données de projet'!$D$50*(AD56-1='E1_Données de projet'!$I$50)*(1+Eing_allg_Teuerung/100)^'E1_Données de projet'!$I$50
+'E1_Données de projet'!$D$51*(AD56-1='E1_Données de projet'!$I$51)*(1+Eing_allg_Teuerung/100)^'E1_Données de projet'!$I$51
+'E1_Données de projet'!$D$52*(AD56-1='E1_Données de projet'!$I$52)*(1+Eing_allg_Teuerung/100)^'E1_Données de projet'!$I$52
+'E1_Données de projet'!$D$53*(AD56-1='E1_Données de projet'!$I$53)*(1+Eing_allg_Teuerung/100)^'E1_Données de projet'!$I$53
+Gesamtinvestition*SUMPRODUCT(('E1_Données de projet'!$D$58:$D$60=B56)*'E1_Données de projet'!$F$58:$F$60)/100</f>
        <v>0</v>
      </c>
      <c r="Y56" s="143">
        <f t="shared" si="6"/>
        <v>0</v>
      </c>
      <c r="Z56" s="134">
        <f t="shared" si="7"/>
        <v>0</v>
      </c>
      <c r="AA56" s="136">
        <f t="shared" si="14"/>
        <v>94474.874761361076</v>
      </c>
      <c r="AB56" s="144">
        <f t="shared" si="15"/>
        <v>601063.96111841779</v>
      </c>
      <c r="AC56" s="145"/>
      <c r="AD56" s="146">
        <f>MAX(B1_Calculs!B56+1-'E1_Données de projet'!$D$22,0)</f>
        <v>19</v>
      </c>
      <c r="AE56" s="147">
        <f t="shared" si="8"/>
        <v>0</v>
      </c>
      <c r="AF56" s="148">
        <f>'E1_Données de projet'!$D$48*(AD56-1='E1_Données de projet'!$I$48)*(1+Eing_allg_Teuerung/100)^'E1_Données de projet'!$I$48
+'E1_Données de projet'!$D$49*(AD56-1='E1_Données de projet'!$I$49)*(1+Eing_allg_Teuerung/100)^'E1_Données de projet'!$I$49
+'E1_Données de projet'!$D$50*(AD56-1='E1_Données de projet'!$I$50)*(1+Eing_allg_Teuerung/100)^'E1_Données de projet'!$I$50
+'E1_Données de projet'!$D$51*(AD56-1='E1_Données de projet'!$I$51)*(1+Eing_allg_Teuerung/100)^'E1_Données de projet'!$I$51
+'E1_Données de projet'!$D$52*(AD56-1='E1_Données de projet'!$I$52)*(1+Eing_allg_Teuerung/100)^'E1_Données de projet'!$I$52
+'E1_Données de projet'!$D$53*(AD56-1='E1_Données de projet'!$I$53)*(1+Eing_allg_Teuerung/100)^'E1_Données de projet'!$I$53
+(Gesamtinvestition-SUM('E1_Données de projet'!$D$54:$D$55))*SUMPRODUCT(('E1_Données de projet'!$D$58:$D$60=B56)*'E1_Données de projet'!$F$58:$F$60)/100+AF55-N56</f>
        <v>609527.54467876023</v>
      </c>
      <c r="AG56" s="149">
        <f>IF(ISNUMBER(IRR((AJ$36:AJ55,AI56))),IRR((AJ$36:AJ55,AI56)),"-")</f>
        <v>6.2757618669188275E-2</v>
      </c>
      <c r="AH56" s="150">
        <f t="shared" si="9"/>
        <v>2042</v>
      </c>
      <c r="AI56" s="151">
        <f t="shared" si="19"/>
        <v>704002.41944012127</v>
      </c>
      <c r="AJ56" s="151">
        <f t="shared" si="16"/>
        <v>94474.874761361076</v>
      </c>
    </row>
    <row r="57" spans="2:36" ht="12.95" customHeight="1" x14ac:dyDescent="0.2">
      <c r="B57" s="133">
        <f t="shared" si="17"/>
        <v>2043</v>
      </c>
      <c r="C57" s="134">
        <f>(SUMPRODUCT((E3_Consommateurs!$D$21:$XFD$21&lt;B1_Calculs!B57)*E3_Consommateurs!$D$18:$XFD$18)+SUMPRODUCT((E3_Consommateurs!$D$21:$XFD$21=B1_Calculs!B57)*E3_Consommateurs!$D$18:$XFD$18*E3_Consommateurs!$D$20:$XFD$20))/(100-Eing_Netzverluste)*100*(1-'E1_Données de projet'!$D$19/100)^(B1_Calculs!B57-'E1_Données de projet'!$D$22)</f>
        <v>1716.5948073028296</v>
      </c>
      <c r="D57" s="135">
        <f t="shared" si="1"/>
        <v>82.61686238355864</v>
      </c>
      <c r="E57" s="136">
        <f t="shared" si="2"/>
        <v>98900.448050686842</v>
      </c>
      <c r="F57" s="137">
        <f t="shared" si="3"/>
        <v>31732.764080434281</v>
      </c>
      <c r="G57" s="137">
        <f t="shared" si="4"/>
        <v>6346.5528160868553</v>
      </c>
      <c r="H57" s="137">
        <f>($F$19*(1+$G$19)^(B57-B$36)+$F$20*(1+$G$20)^(B57-B$36))*(B57&gt;='E1_Données de projet'!$D$22)*VLOOKUP(B57,'E1_Données de projet'!$D$58:$I$60,6)/100</f>
        <v>22183.054926254041</v>
      </c>
      <c r="I57" s="137">
        <f>$F$21*(1+$G$21)^(B57-B$36)*(B57&gt;='E1_Données de projet'!$D$22)*VLOOKUP(B57,'E1_Données de projet'!$D$58:$I$60,6)/100</f>
        <v>29454.167374303976</v>
      </c>
      <c r="J57" s="137">
        <f t="shared" si="10"/>
        <v>21443.619762045571</v>
      </c>
      <c r="K57" s="138"/>
      <c r="L57" s="139"/>
      <c r="M57" s="134">
        <f t="shared" si="5"/>
        <v>0</v>
      </c>
      <c r="N57" s="137">
        <f>+('E1_Données de projet'!$D$48*(1+Eing_allg_Teuerung/100)^('E1_Données de projet'!$I$48*ROUNDDOWN((AD57-1)/'E1_Données de projet'!$I$48,0))/'E1_Données de projet'!$I$48
+'E1_Données de projet'!$D$49*(1+Eing_allg_Teuerung/100)^('E1_Données de projet'!$I$49*ROUNDDOWN((AD57-1)/'E1_Données de projet'!$I$49,0))/'E1_Données de projet'!$I$49
+'E1_Données de projet'!$D$50*(1+Eing_allg_Teuerung/100)^('E1_Données de projet'!$I$50*ROUNDDOWN((AD57-1)/'E1_Données de projet'!$I$50,0))/'E1_Données de projet'!$I$50
+'E1_Données de projet'!$D$51*(1+Eing_allg_Teuerung/100)^('E1_Données de projet'!$I$51*ROUNDDOWN((AD57-1)/'E1_Données de projet'!$I$51,0))/'E1_Données de projet'!$I$51
+'E1_Données de projet'!$D$52*(1+Eing_allg_Teuerung/100)^('E1_Données de projet'!$I$52*ROUNDDOWN((AD57-1)/'E1_Données de projet'!$I$52,0))/'E1_Données de projet'!$I$52
+'E1_Données de projet'!$D$53*(1+Eing_allg_Teuerung/100)^('E1_Données de projet'!$I$53*ROUNDDOWN((AD57-1)/'E1_Données de projet'!$I$53,0))/'E1_Données de projet'!$I$53
)*((AD57)&gt;0)*VLOOKUP(B57,'E1_Données de projet'!$D$58:$I$60,6
)/100</f>
        <v>44047.958607159999</v>
      </c>
      <c r="O57" s="140">
        <f t="shared" si="11"/>
        <v>254108.56561697152</v>
      </c>
      <c r="P57" s="136">
        <f>SUM((SUMPRODUCT((E3_Consommateurs!$D$21:$XFD$21&lt;B1_Calculs!B57)*E3_Consommateurs!$D$25:$XFD$25)+SUMPRODUCT((E3_Consommateurs!$D$21:$XFD$21=B1_Calculs!B57)*E3_Consommateurs!$D$25:$XFD$25*E3_Consommateurs!$D$20:$XFD$20))*(1+$G$24)^(B57-B$36),(SUMPRODUCT((E3_Consommateurs!$D$21:$XFD$21&lt;B1_Calculs!B57)*E3_Consommateurs!$D$26:$XFD$26)+SUMPRODUCT((E3_Consommateurs!$D$21:$XFD$21=B1_Calculs!B57)*E3_Consommateurs!$D$26:$XFD$26*E3_Consommateurs!$D$20:$XFD$20))*((1+$G$24)*(1-'E1_Données de projet'!$D$19/100))^(B57-B$36))</f>
        <v>304978.93832177424</v>
      </c>
      <c r="Q57" s="137">
        <f>SUMPRODUCT((E3_Consommateurs!$D$21:$XFD$21=B1_Calculs!B57)*E3_Consommateurs!$D$23:$XFD$23)</f>
        <v>0</v>
      </c>
      <c r="R57" s="261">
        <f>SUM(jährlicher_Förderbeitrag*(B57-Erstauszahlung_jährlFörderung&lt;=Eing_Förderung_wiederholend_Laufzeit-1)*(B57&gt;='E1_Données de projet'!$D$83),'E1_Données de projet'!$D$76*(B57='E1_Données de projet'!$D$77),'E1_Données de projet'!$D$78*(B57='E1_Données de projet'!$D$79))</f>
        <v>0</v>
      </c>
      <c r="S57" s="138"/>
      <c r="T57" s="141"/>
      <c r="U57" s="140">
        <f t="shared" si="12"/>
        <v>304978.93832177424</v>
      </c>
      <c r="V57" s="142">
        <f t="shared" si="13"/>
        <v>50870.372704802721</v>
      </c>
      <c r="W57" s="140">
        <f t="shared" si="18"/>
        <v>1476461.8785019808</v>
      </c>
      <c r="X57" s="137">
        <f>'E1_Données de projet'!$D$48*(AD57-1='E1_Données de projet'!$I$48)*(1+Eing_allg_Teuerung/100)^'E1_Données de projet'!$I$48
+'E1_Données de projet'!$D$49*(AD57-1='E1_Données de projet'!$I$49)*(1+Eing_allg_Teuerung/100)^'E1_Données de projet'!$I$49
+'E1_Données de projet'!$D$50*(AD57-1='E1_Données de projet'!$I$50)*(1+Eing_allg_Teuerung/100)^'E1_Données de projet'!$I$50
+'E1_Données de projet'!$D$51*(AD57-1='E1_Données de projet'!$I$51)*(1+Eing_allg_Teuerung/100)^'E1_Données de projet'!$I$51
+'E1_Données de projet'!$D$52*(AD57-1='E1_Données de projet'!$I$52)*(1+Eing_allg_Teuerung/100)^'E1_Données de projet'!$I$52
+'E1_Données de projet'!$D$53*(AD57-1='E1_Données de projet'!$I$53)*(1+Eing_allg_Teuerung/100)^'E1_Données de projet'!$I$53
+Gesamtinvestition*SUMPRODUCT(('E1_Données de projet'!$D$58:$D$60=B57)*'E1_Données de projet'!$F$58:$F$60)/100</f>
        <v>0</v>
      </c>
      <c r="Y57" s="143">
        <f t="shared" si="6"/>
        <v>0</v>
      </c>
      <c r="Z57" s="134">
        <f t="shared" si="7"/>
        <v>0</v>
      </c>
      <c r="AA57" s="136">
        <f t="shared" si="14"/>
        <v>94918.331311962713</v>
      </c>
      <c r="AB57" s="144">
        <f t="shared" si="15"/>
        <v>695982.29243038048</v>
      </c>
      <c r="AC57" s="145"/>
      <c r="AD57" s="146">
        <f>MAX(B1_Calculs!B57+1-'E1_Données de projet'!$D$22,0)</f>
        <v>20</v>
      </c>
      <c r="AE57" s="147">
        <f t="shared" si="8"/>
        <v>0</v>
      </c>
      <c r="AF57" s="148">
        <f>'E1_Données de projet'!$D$48*(AD57-1='E1_Données de projet'!$I$48)*(1+Eing_allg_Teuerung/100)^'E1_Données de projet'!$I$48
+'E1_Données de projet'!$D$49*(AD57-1='E1_Données de projet'!$I$49)*(1+Eing_allg_Teuerung/100)^'E1_Données de projet'!$I$49
+'E1_Données de projet'!$D$50*(AD57-1='E1_Données de projet'!$I$50)*(1+Eing_allg_Teuerung/100)^'E1_Données de projet'!$I$50
+'E1_Données de projet'!$D$51*(AD57-1='E1_Données de projet'!$I$51)*(1+Eing_allg_Teuerung/100)^'E1_Données de projet'!$I$51
+'E1_Données de projet'!$D$52*(AD57-1='E1_Données de projet'!$I$52)*(1+Eing_allg_Teuerung/100)^'E1_Données de projet'!$I$52
+'E1_Données de projet'!$D$53*(AD57-1='E1_Données de projet'!$I$53)*(1+Eing_allg_Teuerung/100)^'E1_Données de projet'!$I$53
+(Gesamtinvestition-SUM('E1_Données de projet'!$D$54:$D$55))*SUMPRODUCT(('E1_Données de projet'!$D$58:$D$60=B57)*'E1_Données de projet'!$F$58:$F$60)/100+AF56-N57</f>
        <v>565479.58607160021</v>
      </c>
      <c r="AG57" s="149">
        <f>IF(ISNUMBER(IRR((AJ$36:AJ56,AI57))),IRR((AJ$36:AJ56,AI57)),"-")</f>
        <v>6.306750512306647E-2</v>
      </c>
      <c r="AH57" s="150">
        <f t="shared" si="9"/>
        <v>2043</v>
      </c>
      <c r="AI57" s="151">
        <f t="shared" si="19"/>
        <v>660397.91738356289</v>
      </c>
      <c r="AJ57" s="151">
        <f t="shared" si="16"/>
        <v>94918.331311962713</v>
      </c>
    </row>
    <row r="58" spans="2:36" ht="12.95" customHeight="1" x14ac:dyDescent="0.2">
      <c r="B58" s="133">
        <f t="shared" si="17"/>
        <v>2044</v>
      </c>
      <c r="C58" s="134">
        <f>(SUMPRODUCT((E3_Consommateurs!$D$21:$XFD$21&lt;B1_Calculs!B58)*E3_Consommateurs!$D$18:$XFD$18)+SUMPRODUCT((E3_Consommateurs!$D$21:$XFD$21=B1_Calculs!B58)*E3_Consommateurs!$D$18:$XFD$18*E3_Consommateurs!$D$20:$XFD$20))/(100-Eing_Netzverluste)*100*(1-'E1_Données de projet'!$D$19/100)^(B1_Calculs!B58-'E1_Données de projet'!$D$22)</f>
        <v>1699.4288592298014</v>
      </c>
      <c r="D58" s="135">
        <f t="shared" si="1"/>
        <v>81.790693759723069</v>
      </c>
      <c r="E58" s="136">
        <f t="shared" si="2"/>
        <v>98890.55800588183</v>
      </c>
      <c r="F58" s="137">
        <f t="shared" si="3"/>
        <v>31729.590804026247</v>
      </c>
      <c r="G58" s="137">
        <f t="shared" si="4"/>
        <v>6345.9181608052495</v>
      </c>
      <c r="H58" s="137">
        <f>($F$19*(1+$G$19)^(B58-B$36)+$F$20*(1+$G$20)^(B58-B$36))*(B58&gt;='E1_Données de projet'!$D$22)*VLOOKUP(B58,'E1_Données de projet'!$D$58:$I$60,6)/100</f>
        <v>22404.885475516585</v>
      </c>
      <c r="I58" s="137">
        <f>$F$21*(1+$G$21)^(B58-B$36)*(B58&gt;='E1_Données de projet'!$D$22)*VLOOKUP(B58,'E1_Données de projet'!$D$58:$I$60,6)/100</f>
        <v>29748.709048047018</v>
      </c>
      <c r="J58" s="137">
        <f t="shared" si="10"/>
        <v>21658.055959666031</v>
      </c>
      <c r="K58" s="138"/>
      <c r="L58" s="139"/>
      <c r="M58" s="134">
        <f t="shared" si="5"/>
        <v>0</v>
      </c>
      <c r="N58" s="137">
        <f>+('E1_Données de projet'!$D$48*(1+Eing_allg_Teuerung/100)^('E1_Données de projet'!$I$48*ROUNDDOWN((AD58-1)/'E1_Données de projet'!$I$48,0))/'E1_Données de projet'!$I$48
+'E1_Données de projet'!$D$49*(1+Eing_allg_Teuerung/100)^('E1_Données de projet'!$I$49*ROUNDDOWN((AD58-1)/'E1_Données de projet'!$I$49,0))/'E1_Données de projet'!$I$49
+'E1_Données de projet'!$D$50*(1+Eing_allg_Teuerung/100)^('E1_Données de projet'!$I$50*ROUNDDOWN((AD58-1)/'E1_Données de projet'!$I$50,0))/'E1_Données de projet'!$I$50
+'E1_Données de projet'!$D$51*(1+Eing_allg_Teuerung/100)^('E1_Données de projet'!$I$51*ROUNDDOWN((AD58-1)/'E1_Données de projet'!$I$51,0))/'E1_Données de projet'!$I$51
+'E1_Données de projet'!$D$52*(1+Eing_allg_Teuerung/100)^('E1_Données de projet'!$I$52*ROUNDDOWN((AD58-1)/'E1_Données de projet'!$I$52,0))/'E1_Données de projet'!$I$52
+'E1_Données de projet'!$D$53*(1+Eing_allg_Teuerung/100)^('E1_Données de projet'!$I$53*ROUNDDOWN((AD58-1)/'E1_Données de projet'!$I$53,0))/'E1_Données de projet'!$I$53
)*((AD58)&gt;0)*VLOOKUP(B58,'E1_Données de projet'!$D$58:$I$60,6
)/100</f>
        <v>48451.75940611933</v>
      </c>
      <c r="O58" s="140">
        <f t="shared" si="11"/>
        <v>259229.47686006228</v>
      </c>
      <c r="P58" s="136">
        <f>SUM((SUMPRODUCT((E3_Consommateurs!$D$21:$XFD$21&lt;B1_Calculs!B58)*E3_Consommateurs!$D$25:$XFD$25)+SUMPRODUCT((E3_Consommateurs!$D$21:$XFD$21=B1_Calculs!B58)*E3_Consommateurs!$D$25:$XFD$25*E3_Consommateurs!$D$20:$XFD$20))*(1+$G$24)^(B58-B$36),(SUMPRODUCT((E3_Consommateurs!$D$21:$XFD$21&lt;B1_Calculs!B58)*E3_Consommateurs!$D$26:$XFD$26)+SUMPRODUCT((E3_Consommateurs!$D$21:$XFD$21=B1_Calculs!B58)*E3_Consommateurs!$D$26:$XFD$26*E3_Consommateurs!$D$20:$XFD$20))*((1+$G$24)*(1-'E1_Données de projet'!$D$19/100))^(B58-B$36))</f>
        <v>306143.99001123285</v>
      </c>
      <c r="Q58" s="137">
        <f>SUMPRODUCT((E3_Consommateurs!$D$21:$XFD$21=B1_Calculs!B58)*E3_Consommateurs!$D$23:$XFD$23)</f>
        <v>0</v>
      </c>
      <c r="R58" s="261">
        <f>SUM(jährlicher_Förderbeitrag*(B58-Erstauszahlung_jährlFörderung&lt;=Eing_Förderung_wiederholend_Laufzeit-1)*(B58&gt;='E1_Données de projet'!$D$83),'E1_Données de projet'!$D$76*(B58='E1_Données de projet'!$D$77),'E1_Données de projet'!$D$78*(B58='E1_Données de projet'!$D$79))</f>
        <v>0</v>
      </c>
      <c r="S58" s="138"/>
      <c r="T58" s="141"/>
      <c r="U58" s="140">
        <f t="shared" si="12"/>
        <v>306143.99001123285</v>
      </c>
      <c r="V58" s="142">
        <f t="shared" si="13"/>
        <v>46914.513151170569</v>
      </c>
      <c r="W58" s="140">
        <f t="shared" si="18"/>
        <v>1523376.3916531513</v>
      </c>
      <c r="X58" s="137">
        <f>'E1_Données de projet'!$D$48*(AD58-1='E1_Données de projet'!$I$48)*(1+Eing_allg_Teuerung/100)^'E1_Données de projet'!$I$48
+'E1_Données de projet'!$D$49*(AD58-1='E1_Données de projet'!$I$49)*(1+Eing_allg_Teuerung/100)^'E1_Données de projet'!$I$49
+'E1_Données de projet'!$D$50*(AD58-1='E1_Données de projet'!$I$50)*(1+Eing_allg_Teuerung/100)^'E1_Données de projet'!$I$50
+'E1_Données de projet'!$D$51*(AD58-1='E1_Données de projet'!$I$51)*(1+Eing_allg_Teuerung/100)^'E1_Données de projet'!$I$51
+'E1_Données de projet'!$D$52*(AD58-1='E1_Données de projet'!$I$52)*(1+Eing_allg_Teuerung/100)^'E1_Données de projet'!$I$52
+'E1_Données de projet'!$D$53*(AD58-1='E1_Données de projet'!$I$53)*(1+Eing_allg_Teuerung/100)^'E1_Données de projet'!$I$53
+Gesamtinvestition*SUMPRODUCT(('E1_Données de projet'!$D$58:$D$60=B58)*'E1_Données de projet'!$F$58:$F$60)/100</f>
        <v>488076.01597918681</v>
      </c>
      <c r="Y58" s="143">
        <f t="shared" si="6"/>
        <v>0</v>
      </c>
      <c r="Z58" s="134">
        <f t="shared" si="7"/>
        <v>0</v>
      </c>
      <c r="AA58" s="136">
        <f t="shared" si="14"/>
        <v>-392709.74342189694</v>
      </c>
      <c r="AB58" s="144">
        <f t="shared" si="15"/>
        <v>303272.54900848353</v>
      </c>
      <c r="AC58" s="145"/>
      <c r="AD58" s="146">
        <f>MAX(B1_Calculs!B58+1-'E1_Données de projet'!$D$22,0)</f>
        <v>21</v>
      </c>
      <c r="AE58" s="147">
        <f t="shared" si="8"/>
        <v>0</v>
      </c>
      <c r="AF58" s="148">
        <f>'E1_Données de projet'!$D$48*(AD58-1='E1_Données de projet'!$I$48)*(1+Eing_allg_Teuerung/100)^'E1_Données de projet'!$I$48
+'E1_Données de projet'!$D$49*(AD58-1='E1_Données de projet'!$I$49)*(1+Eing_allg_Teuerung/100)^'E1_Données de projet'!$I$49
+'E1_Données de projet'!$D$50*(AD58-1='E1_Données de projet'!$I$50)*(1+Eing_allg_Teuerung/100)^'E1_Données de projet'!$I$50
+'E1_Données de projet'!$D$51*(AD58-1='E1_Données de projet'!$I$51)*(1+Eing_allg_Teuerung/100)^'E1_Données de projet'!$I$51
+'E1_Données de projet'!$D$52*(AD58-1='E1_Données de projet'!$I$52)*(1+Eing_allg_Teuerung/100)^'E1_Données de projet'!$I$52
+'E1_Données de projet'!$D$53*(AD58-1='E1_Données de projet'!$I$53)*(1+Eing_allg_Teuerung/100)^'E1_Données de projet'!$I$53
+(Gesamtinvestition-SUM('E1_Données de projet'!$D$54:$D$55))*SUMPRODUCT(('E1_Données de projet'!$D$58:$D$60=B58)*'E1_Données de projet'!$F$58:$F$60)/100+AF57-N58</f>
        <v>1005103.8426446677</v>
      </c>
      <c r="AG58" s="149">
        <f>IF(ISNUMBER(IRR((AJ$36:AJ57,AI58))),IRR((AJ$36:AJ57,AI58)),"-")</f>
        <v>6.3322331601795678E-2</v>
      </c>
      <c r="AH58" s="150">
        <f t="shared" si="9"/>
        <v>2044</v>
      </c>
      <c r="AI58" s="151">
        <f t="shared" si="19"/>
        <v>612394.09922277089</v>
      </c>
      <c r="AJ58" s="151">
        <f t="shared" si="16"/>
        <v>-392709.74342189688</v>
      </c>
    </row>
    <row r="59" spans="2:36" ht="12.95" customHeight="1" x14ac:dyDescent="0.2">
      <c r="B59" s="133">
        <f t="shared" si="17"/>
        <v>2045</v>
      </c>
      <c r="C59" s="134">
        <f>(SUMPRODUCT((E3_Consommateurs!$D$21:$XFD$21&lt;B1_Calculs!B59)*E3_Consommateurs!$D$18:$XFD$18)+SUMPRODUCT((E3_Consommateurs!$D$21:$XFD$21=B1_Calculs!B59)*E3_Consommateurs!$D$18:$XFD$18*E3_Consommateurs!$D$20:$XFD$20))/(100-Eing_Netzverluste)*100*(1-'E1_Données de projet'!$D$19/100)^(B1_Calculs!B59-'E1_Données de projet'!$D$22)</f>
        <v>1682.4345706375034</v>
      </c>
      <c r="D59" s="135">
        <f t="shared" si="1"/>
        <v>80.972786822125826</v>
      </c>
      <c r="E59" s="136">
        <f t="shared" si="2"/>
        <v>98880.668950081206</v>
      </c>
      <c r="F59" s="137">
        <f t="shared" si="3"/>
        <v>31726.417844945838</v>
      </c>
      <c r="G59" s="137">
        <f t="shared" si="4"/>
        <v>6345.2835689891663</v>
      </c>
      <c r="H59" s="137">
        <f>($F$19*(1+$G$19)^(B59-B$36)+$F$20*(1+$G$20)^(B59-B$36))*(B59&gt;='E1_Données de projet'!$D$22)*VLOOKUP(B59,'E1_Données de projet'!$D$58:$I$60,6)/100</f>
        <v>22628.934330271746</v>
      </c>
      <c r="I59" s="137">
        <f>$F$21*(1+$G$21)^(B59-B$36)*(B59&gt;='E1_Données de projet'!$D$22)*VLOOKUP(B59,'E1_Données de projet'!$D$58:$I$60,6)/100</f>
        <v>30046.196138527488</v>
      </c>
      <c r="J59" s="137">
        <f t="shared" si="10"/>
        <v>21874.636519262687</v>
      </c>
      <c r="K59" s="138"/>
      <c r="L59" s="139"/>
      <c r="M59" s="134">
        <f t="shared" si="5"/>
        <v>0</v>
      </c>
      <c r="N59" s="137">
        <f>+('E1_Données de projet'!$D$48*(1+Eing_allg_Teuerung/100)^('E1_Données de projet'!$I$48*ROUNDDOWN((AD59-1)/'E1_Données de projet'!$I$48,0))/'E1_Données de projet'!$I$48
+'E1_Données de projet'!$D$49*(1+Eing_allg_Teuerung/100)^('E1_Données de projet'!$I$49*ROUNDDOWN((AD59-1)/'E1_Données de projet'!$I$49,0))/'E1_Données de projet'!$I$49
+'E1_Données de projet'!$D$50*(1+Eing_allg_Teuerung/100)^('E1_Données de projet'!$I$50*ROUNDDOWN((AD59-1)/'E1_Données de projet'!$I$50,0))/'E1_Données de projet'!$I$50
+'E1_Données de projet'!$D$51*(1+Eing_allg_Teuerung/100)^('E1_Données de projet'!$I$51*ROUNDDOWN((AD59-1)/'E1_Données de projet'!$I$51,0))/'E1_Données de projet'!$I$51
+'E1_Données de projet'!$D$52*(1+Eing_allg_Teuerung/100)^('E1_Données de projet'!$I$52*ROUNDDOWN((AD59-1)/'E1_Données de projet'!$I$52,0))/'E1_Données de projet'!$I$52
+'E1_Données de projet'!$D$53*(1+Eing_allg_Teuerung/100)^('E1_Données de projet'!$I$53*ROUNDDOWN((AD59-1)/'E1_Données de projet'!$I$53,0))/'E1_Données de projet'!$I$53
)*((AD59)&gt;0)*VLOOKUP(B59,'E1_Données de projet'!$D$58:$I$60,6
)/100</f>
        <v>48451.75940611933</v>
      </c>
      <c r="O59" s="140">
        <f t="shared" si="11"/>
        <v>259953.89675819743</v>
      </c>
      <c r="P59" s="136">
        <f>SUM((SUMPRODUCT((E3_Consommateurs!$D$21:$XFD$21&lt;B1_Calculs!B59)*E3_Consommateurs!$D$25:$XFD$25)+SUMPRODUCT((E3_Consommateurs!$D$21:$XFD$21=B1_Calculs!B59)*E3_Consommateurs!$D$25:$XFD$25*E3_Consommateurs!$D$20:$XFD$20))*(1+$G$24)^(B59-B$36),(SUMPRODUCT((E3_Consommateurs!$D$21:$XFD$21&lt;B1_Calculs!B59)*E3_Consommateurs!$D$26:$XFD$26)+SUMPRODUCT((E3_Consommateurs!$D$21:$XFD$21=B1_Calculs!B59)*E3_Consommateurs!$D$26:$XFD$26*E3_Consommateurs!$D$20:$XFD$20))*((1+$G$24)*(1-'E1_Données de projet'!$D$19/100))^(B59-B$36))</f>
        <v>307320.88069135533</v>
      </c>
      <c r="Q59" s="137">
        <f>SUMPRODUCT((E3_Consommateurs!$D$21:$XFD$21=B1_Calculs!B59)*E3_Consommateurs!$D$23:$XFD$23)</f>
        <v>0</v>
      </c>
      <c r="R59" s="261">
        <f>SUM(jährlicher_Förderbeitrag*(B59-Erstauszahlung_jährlFörderung&lt;=Eing_Förderung_wiederholend_Laufzeit-1)*(B59&gt;='E1_Données de projet'!$D$83),'E1_Données de projet'!$D$76*(B59='E1_Données de projet'!$D$77),'E1_Données de projet'!$D$78*(B59='E1_Données de projet'!$D$79))</f>
        <v>0</v>
      </c>
      <c r="S59" s="138"/>
      <c r="T59" s="141"/>
      <c r="U59" s="140">
        <f t="shared" si="12"/>
        <v>307320.88069135533</v>
      </c>
      <c r="V59" s="142">
        <f t="shared" si="13"/>
        <v>47366.983933157899</v>
      </c>
      <c r="W59" s="140">
        <f t="shared" si="18"/>
        <v>1570743.3755863092</v>
      </c>
      <c r="X59" s="137">
        <f>'E1_Données de projet'!$D$48*(AD59-1='E1_Données de projet'!$I$48)*(1+Eing_allg_Teuerung/100)^'E1_Données de projet'!$I$48
+'E1_Données de projet'!$D$49*(AD59-1='E1_Données de projet'!$I$49)*(1+Eing_allg_Teuerung/100)^'E1_Données de projet'!$I$49
+'E1_Données de projet'!$D$50*(AD59-1='E1_Données de projet'!$I$50)*(1+Eing_allg_Teuerung/100)^'E1_Données de projet'!$I$50
+'E1_Données de projet'!$D$51*(AD59-1='E1_Données de projet'!$I$51)*(1+Eing_allg_Teuerung/100)^'E1_Données de projet'!$I$51
+'E1_Données de projet'!$D$52*(AD59-1='E1_Données de projet'!$I$52)*(1+Eing_allg_Teuerung/100)^'E1_Données de projet'!$I$52
+'E1_Données de projet'!$D$53*(AD59-1='E1_Données de projet'!$I$53)*(1+Eing_allg_Teuerung/100)^'E1_Données de projet'!$I$53
+Gesamtinvestition*SUMPRODUCT(('E1_Données de projet'!$D$58:$D$60=B59)*'E1_Données de projet'!$F$58:$F$60)/100</f>
        <v>0</v>
      </c>
      <c r="Y59" s="143">
        <f t="shared" si="6"/>
        <v>0</v>
      </c>
      <c r="Z59" s="134">
        <f t="shared" si="7"/>
        <v>0</v>
      </c>
      <c r="AA59" s="136">
        <f t="shared" si="14"/>
        <v>95818.743339277222</v>
      </c>
      <c r="AB59" s="144">
        <f t="shared" si="15"/>
        <v>399091.29234776075</v>
      </c>
      <c r="AC59" s="145"/>
      <c r="AD59" s="146">
        <f>MAX(B1_Calculs!B59+1-'E1_Données de projet'!$D$22,0)</f>
        <v>22</v>
      </c>
      <c r="AE59" s="147">
        <f t="shared" si="8"/>
        <v>0</v>
      </c>
      <c r="AF59" s="148">
        <f>'E1_Données de projet'!$D$48*(AD59-1='E1_Données de projet'!$I$48)*(1+Eing_allg_Teuerung/100)^'E1_Données de projet'!$I$48
+'E1_Données de projet'!$D$49*(AD59-1='E1_Données de projet'!$I$49)*(1+Eing_allg_Teuerung/100)^'E1_Données de projet'!$I$49
+'E1_Données de projet'!$D$50*(AD59-1='E1_Données de projet'!$I$50)*(1+Eing_allg_Teuerung/100)^'E1_Données de projet'!$I$50
+'E1_Données de projet'!$D$51*(AD59-1='E1_Données de projet'!$I$51)*(1+Eing_allg_Teuerung/100)^'E1_Données de projet'!$I$51
+'E1_Données de projet'!$D$52*(AD59-1='E1_Données de projet'!$I$52)*(1+Eing_allg_Teuerung/100)^'E1_Données de projet'!$I$52
+'E1_Données de projet'!$D$53*(AD59-1='E1_Données de projet'!$I$53)*(1+Eing_allg_Teuerung/100)^'E1_Données de projet'!$I$53
+(Gesamtinvestition-SUM('E1_Données de projet'!$D$54:$D$55))*SUMPRODUCT(('E1_Données de projet'!$D$58:$D$60=B59)*'E1_Données de projet'!$F$58:$F$60)/100+AF58-N59</f>
        <v>956652.08323854837</v>
      </c>
      <c r="AG59" s="149">
        <f>IF(ISNUMBER(IRR((AJ$36:AJ58,AI59))),IRR((AJ$36:AJ58,AI59)),"-")</f>
        <v>6.2982400248165593E-2</v>
      </c>
      <c r="AH59" s="150">
        <f t="shared" si="9"/>
        <v>2045</v>
      </c>
      <c r="AI59" s="151">
        <f t="shared" si="19"/>
        <v>1052470.8265778255</v>
      </c>
      <c r="AJ59" s="151">
        <f t="shared" si="16"/>
        <v>95818.743339277222</v>
      </c>
    </row>
    <row r="60" spans="2:36" ht="12.75" customHeight="1" x14ac:dyDescent="0.2">
      <c r="B60" s="152">
        <f t="shared" si="17"/>
        <v>2046</v>
      </c>
      <c r="C60" s="153">
        <f>(SUMPRODUCT((E3_Consommateurs!$D$21:$XFD$21&lt;B1_Calculs!B60)*E3_Consommateurs!$D$18:$XFD$18)+SUMPRODUCT((E3_Consommateurs!$D$21:$XFD$21=B1_Calculs!B60)*E3_Consommateurs!$D$18:$XFD$18*E3_Consommateurs!$D$20:$XFD$20))/(100-Eing_Netzverluste)*100*(1-'E1_Données de projet'!$D$19/100)^(B1_Calculs!B60-'E1_Données de projet'!$D$22)</f>
        <v>1665.6102249311282</v>
      </c>
      <c r="D60" s="154">
        <f t="shared" si="1"/>
        <v>80.163058953904567</v>
      </c>
      <c r="E60" s="155">
        <f t="shared" si="2"/>
        <v>98870.780883186206</v>
      </c>
      <c r="F60" s="153">
        <f t="shared" si="3"/>
        <v>31723.24520316135</v>
      </c>
      <c r="G60" s="153">
        <f t="shared" si="4"/>
        <v>6344.64904063227</v>
      </c>
      <c r="H60" s="153">
        <f>($F$19*(1+$G$19)^(B60-B$36)+$F$20*(1+$G$20)^(B60-B$36))*(B60&gt;='E1_Données de projet'!$D$22)*VLOOKUP(B60,'E1_Données de projet'!$D$58:$I$60,6)/100</f>
        <v>22855.223673574466</v>
      </c>
      <c r="I60" s="153">
        <f>$F$21*(1+$G$21)^(B60-B$36)*(B60&gt;='E1_Données de projet'!$D$22)*VLOOKUP(B60,'E1_Données de projet'!$D$58:$I$60,6)/100</f>
        <v>30346.658099912769</v>
      </c>
      <c r="J60" s="153">
        <f t="shared" si="10"/>
        <v>22093.382884455321</v>
      </c>
      <c r="K60" s="156"/>
      <c r="L60" s="157"/>
      <c r="M60" s="158">
        <f t="shared" si="5"/>
        <v>0</v>
      </c>
      <c r="N60" s="153">
        <f>+('E1_Données de projet'!$D$48*(1+Eing_allg_Teuerung/100)^('E1_Données de projet'!$I$48*ROUNDDOWN((AD60-1)/'E1_Données de projet'!$I$48,0))/'E1_Données de projet'!$I$48
+'E1_Données de projet'!$D$49*(1+Eing_allg_Teuerung/100)^('E1_Données de projet'!$I$49*ROUNDDOWN((AD60-1)/'E1_Données de projet'!$I$49,0))/'E1_Données de projet'!$I$49
+'E1_Données de projet'!$D$50*(1+Eing_allg_Teuerung/100)^('E1_Données de projet'!$I$50*ROUNDDOWN((AD60-1)/'E1_Données de projet'!$I$50,0))/'E1_Données de projet'!$I$50
+'E1_Données de projet'!$D$51*(1+Eing_allg_Teuerung/100)^('E1_Données de projet'!$I$51*ROUNDDOWN((AD60-1)/'E1_Données de projet'!$I$51,0))/'E1_Données de projet'!$I$51
+'E1_Données de projet'!$D$52*(1+Eing_allg_Teuerung/100)^('E1_Données de projet'!$I$52*ROUNDDOWN((AD60-1)/'E1_Données de projet'!$I$52,0))/'E1_Données de projet'!$I$52
+'E1_Données de projet'!$D$53*(1+Eing_allg_Teuerung/100)^('E1_Données de projet'!$I$53*ROUNDDOWN((AD60-1)/'E1_Données de projet'!$I$53,0))/'E1_Données de projet'!$I$53
)*((AD60)&gt;0)*VLOOKUP(B60,'E1_Données de projet'!$D$58:$I$60,6
)/100</f>
        <v>48451.75940611933</v>
      </c>
      <c r="O60" s="159">
        <f t="shared" si="11"/>
        <v>260685.6991910417</v>
      </c>
      <c r="P60" s="155">
        <f>SUM((SUMPRODUCT((E3_Consommateurs!$D$21:$XFD$21&lt;B1_Calculs!B60)*E3_Consommateurs!$D$25:$XFD$25)+SUMPRODUCT((E3_Consommateurs!$D$21:$XFD$21=B1_Calculs!B60)*E3_Consommateurs!$D$25:$XFD$25*E3_Consommateurs!$D$20:$XFD$20))*(1+$G$24)^(B60-B$36),(SUMPRODUCT((E3_Consommateurs!$D$21:$XFD$21&lt;B1_Calculs!B60)*E3_Consommateurs!$D$26:$XFD$26)+SUMPRODUCT((E3_Consommateurs!$D$21:$XFD$21=B1_Calculs!B60)*E3_Consommateurs!$D$26:$XFD$26*E3_Consommateurs!$D$20:$XFD$20))*((1+$G$24)*(1-'E1_Données de projet'!$D$19/100))^(B60-B$36))</f>
        <v>308509.72873320116</v>
      </c>
      <c r="Q60" s="153">
        <f>SUMPRODUCT((E3_Consommateurs!$D$21:$XFD$21=B1_Calculs!B60)*E3_Consommateurs!$D$23:$XFD$23)</f>
        <v>0</v>
      </c>
      <c r="R60" s="262">
        <f>SUM(jährlicher_Förderbeitrag*(B60-Erstauszahlung_jährlFörderung&lt;=Eing_Förderung_wiederholend_Laufzeit-1)*(B60&gt;='E1_Données de projet'!$D$83),'E1_Données de projet'!$D$76*(B60='E1_Données de projet'!$D$77),'E1_Données de projet'!$D$78*(B60='E1_Données de projet'!$D$79))</f>
        <v>0</v>
      </c>
      <c r="S60" s="156"/>
      <c r="T60" s="160"/>
      <c r="U60" s="159">
        <f t="shared" si="12"/>
        <v>308509.72873320116</v>
      </c>
      <c r="V60" s="161">
        <f t="shared" si="13"/>
        <v>47824.029542159464</v>
      </c>
      <c r="W60" s="162">
        <f t="shared" si="18"/>
        <v>1618567.4051284688</v>
      </c>
      <c r="X60" s="153">
        <f>'E1_Données de projet'!$D$48*(AD60-1='E1_Données de projet'!$I$48)*(1+Eing_allg_Teuerung/100)^'E1_Données de projet'!$I$48
+'E1_Données de projet'!$D$49*(AD60-1='E1_Données de projet'!$I$49)*(1+Eing_allg_Teuerung/100)^'E1_Données de projet'!$I$49
+'E1_Données de projet'!$D$50*(AD60-1='E1_Données de projet'!$I$50)*(1+Eing_allg_Teuerung/100)^'E1_Données de projet'!$I$50
+'E1_Données de projet'!$D$51*(AD60-1='E1_Données de projet'!$I$51)*(1+Eing_allg_Teuerung/100)^'E1_Données de projet'!$I$51
+'E1_Données de projet'!$D$52*(AD60-1='E1_Données de projet'!$I$52)*(1+Eing_allg_Teuerung/100)^'E1_Données de projet'!$I$52
+'E1_Données de projet'!$D$53*(AD60-1='E1_Données de projet'!$I$53)*(1+Eing_allg_Teuerung/100)^'E1_Données de projet'!$I$53
+Gesamtinvestition*SUMPRODUCT(('E1_Données de projet'!$D$58:$D$60=B60)*'E1_Données de projet'!$F$58:$F$60)/100</f>
        <v>0</v>
      </c>
      <c r="Y60" s="163">
        <f t="shared" si="6"/>
        <v>0</v>
      </c>
      <c r="Z60" s="158">
        <f t="shared" si="7"/>
        <v>0</v>
      </c>
      <c r="AA60" s="155">
        <f t="shared" si="14"/>
        <v>96275.788948278787</v>
      </c>
      <c r="AB60" s="164">
        <f t="shared" si="15"/>
        <v>495367.08129603951</v>
      </c>
      <c r="AC60" s="165"/>
      <c r="AD60" s="166">
        <f>MAX(B1_Calculs!B60+1-'E1_Données de projet'!$D$22,0)</f>
        <v>23</v>
      </c>
      <c r="AE60" s="167">
        <f t="shared" si="8"/>
        <v>0</v>
      </c>
      <c r="AF60" s="168">
        <f>'E1_Données de projet'!$D$48*(AD60-1='E1_Données de projet'!$I$48)*(1+Eing_allg_Teuerung/100)^'E1_Données de projet'!$I$48
+'E1_Données de projet'!$D$49*(AD60-1='E1_Données de projet'!$I$49)*(1+Eing_allg_Teuerung/100)^'E1_Données de projet'!$I$49
+'E1_Données de projet'!$D$50*(AD60-1='E1_Données de projet'!$I$50)*(1+Eing_allg_Teuerung/100)^'E1_Données de projet'!$I$50
+'E1_Données de projet'!$D$51*(AD60-1='E1_Données de projet'!$I$51)*(1+Eing_allg_Teuerung/100)^'E1_Données de projet'!$I$51
+'E1_Données de projet'!$D$52*(AD60-1='E1_Données de projet'!$I$52)*(1+Eing_allg_Teuerung/100)^'E1_Données de projet'!$I$52
+'E1_Données de projet'!$D$53*(AD60-1='E1_Données de projet'!$I$53)*(1+Eing_allg_Teuerung/100)^'E1_Données de projet'!$I$53
+(Gesamtinvestition-SUM('E1_Données de projet'!$D$54:$D$55))*SUMPRODUCT(('E1_Données de projet'!$D$58:$D$60=B60)*'E1_Données de projet'!$F$58:$F$60)/100+AF59-N60</f>
        <v>908200.32383242901</v>
      </c>
      <c r="AG60" s="169">
        <f>IF(ISNUMBER(IRR((AJ$36:AJ59,AI60))),IRR((AJ$36:AJ59,AI60)),"-")</f>
        <v>6.2740875258071149E-2</v>
      </c>
      <c r="AH60" s="170">
        <f t="shared" si="9"/>
        <v>2046</v>
      </c>
      <c r="AI60" s="151">
        <f t="shared" si="19"/>
        <v>1004476.1127807078</v>
      </c>
      <c r="AJ60" s="151">
        <f t="shared" si="16"/>
        <v>96275.788948278787</v>
      </c>
    </row>
  </sheetData>
  <sheetProtection algorithmName="SHA-512" hashValue="TyyJqnfXwyLU4jna2/hX24b7PSI2wNfDUc2a8zyWnYPfjEo9oTKl2L+GHJzHTPbBcioMDhiwghDLXDnHIccIog==" saltValue="NoJS0+6FssMPSMjQJvSoIA==" spinCount="100000" sheet="1" objects="1" scenarios="1"/>
  <mergeCells count="19">
    <mergeCell ref="D7:I7"/>
    <mergeCell ref="D6:I6"/>
    <mergeCell ref="D8:I8"/>
    <mergeCell ref="D3:I3"/>
    <mergeCell ref="D4:I4"/>
    <mergeCell ref="D10:I10"/>
    <mergeCell ref="D12:I12"/>
    <mergeCell ref="C16:E16"/>
    <mergeCell ref="C17:E17"/>
    <mergeCell ref="C18:E18"/>
    <mergeCell ref="B15:E15"/>
    <mergeCell ref="C27:E27"/>
    <mergeCell ref="C28:E28"/>
    <mergeCell ref="C29:E29"/>
    <mergeCell ref="C19:E19"/>
    <mergeCell ref="C20:E20"/>
    <mergeCell ref="C21:E21"/>
    <mergeCell ref="C22:E22"/>
    <mergeCell ref="C23:E23"/>
  </mergeCells>
  <phoneticPr fontId="9" type="noConversion"/>
  <conditionalFormatting sqref="AE36:AE60">
    <cfRule type="expression" dxfId="2" priority="1">
      <formula>-AE36&gt;AF36</formula>
    </cfRule>
  </conditionalFormatting>
  <hyperlinks>
    <hyperlink ref="A1" location="I1_500" display="I1_500" xr:uid="{00000000-0004-0000-0400-000000000000}"/>
    <hyperlink ref="A3" location="I1_101" display="I1_101" xr:uid="{00000000-0004-0000-0400-000001000000}"/>
    <hyperlink ref="A4" location="I1_102" display="I1_102" xr:uid="{00000000-0004-0000-0400-000002000000}"/>
    <hyperlink ref="A6" location="I1_206" display="I1_206" xr:uid="{00000000-0004-0000-0400-000003000000}"/>
    <hyperlink ref="A10" location="I1_207" display="I1_207" xr:uid="{00000000-0004-0000-0400-000004000000}"/>
    <hyperlink ref="A12" location="I1_501" display="I1_501" xr:uid="{00000000-0004-0000-0400-000005000000}"/>
    <hyperlink ref="A14" location="I1_510" display="I1_510" xr:uid="{00000000-0004-0000-0400-000006000000}"/>
    <hyperlink ref="G13" location="I1_505" display="I1_505" xr:uid="{00000000-0004-0000-0400-000007000000}"/>
    <hyperlink ref="A15" location="I1_511" display="I1_511" xr:uid="{00000000-0004-0000-0400-000008000000}"/>
    <hyperlink ref="A16" location="I1_512" display="I1_512" xr:uid="{00000000-0004-0000-0400-000009000000}"/>
    <hyperlink ref="A17" location="I1_513" display="I1_513" xr:uid="{00000000-0004-0000-0400-00000A000000}"/>
    <hyperlink ref="A18" location="I1_514" display="I1_514" xr:uid="{00000000-0004-0000-0400-00000B000000}"/>
    <hyperlink ref="A19" location="I1_515" display="I1_515" xr:uid="{00000000-0004-0000-0400-00000C000000}"/>
    <hyperlink ref="A20" location="I1_516" display="I1_516" xr:uid="{00000000-0004-0000-0400-00000D000000}"/>
    <hyperlink ref="A21" location="I1_517" display="I1_517" xr:uid="{00000000-0004-0000-0400-00000E000000}"/>
    <hyperlink ref="A22" location="I1_518" display="I1_518" xr:uid="{00000000-0004-0000-0400-00000F000000}"/>
    <hyperlink ref="A23" location="I1_519" display="I1_519" xr:uid="{00000000-0004-0000-0400-000010000000}"/>
    <hyperlink ref="A24" location="I1_520" display="I1_520" xr:uid="{00000000-0004-0000-0400-000011000000}"/>
    <hyperlink ref="A26" location="I1_530" display="I1_530" xr:uid="{00000000-0004-0000-0400-000012000000}"/>
    <hyperlink ref="A27" location="I1_190" display="I1_190" xr:uid="{00000000-0004-0000-0400-000013000000}"/>
    <hyperlink ref="A28" location="I1_191" display="I1_191" xr:uid="{00000000-0004-0000-0400-000014000000}"/>
    <hyperlink ref="A29" location="I1_531" display="I1_531" xr:uid="{00000000-0004-0000-0400-000015000000}"/>
    <hyperlink ref="A31" location="I1_550" display="I1_550" xr:uid="{00000000-0004-0000-0400-000016000000}"/>
    <hyperlink ref="B34" location="I1_551" display="I1_551" xr:uid="{00000000-0004-0000-0400-000017000000}"/>
    <hyperlink ref="C34" location="I1_552" display="I1_552" xr:uid="{00000000-0004-0000-0400-000018000000}"/>
    <hyperlink ref="D34" location="I1_553" display="I1_553" xr:uid="{00000000-0004-0000-0400-000019000000}"/>
    <hyperlink ref="E34" location="I1_554" display="I1_554" xr:uid="{00000000-0004-0000-0400-00001A000000}"/>
    <hyperlink ref="F34" location="I1_555" display="I1_555" xr:uid="{00000000-0004-0000-0400-00001B000000}"/>
    <hyperlink ref="G34" location="I1_556" display="I1_556" xr:uid="{00000000-0004-0000-0400-00001C000000}"/>
    <hyperlink ref="H34" location="I1_557" display="I1_557" xr:uid="{00000000-0004-0000-0400-00001D000000}"/>
    <hyperlink ref="I34" location="I1_558" display="I1_558" xr:uid="{00000000-0004-0000-0400-00001E000000}"/>
    <hyperlink ref="J34" location="I1_559" display="I1_559" xr:uid="{00000000-0004-0000-0400-00001F000000}"/>
    <hyperlink ref="X34" location="I1_580" display="I1_580" xr:uid="{00000000-0004-0000-0400-000020000000}"/>
    <hyperlink ref="K34" location="I1_560" display="I1_560" xr:uid="{00000000-0004-0000-0400-000021000000}"/>
    <hyperlink ref="L34" location="I1_561" display="I1_561" xr:uid="{00000000-0004-0000-0400-000022000000}"/>
    <hyperlink ref="M34" location="I1_562" display="I1_562" xr:uid="{00000000-0004-0000-0400-000023000000}"/>
    <hyperlink ref="O34" location="I1_564" display="I1_564" xr:uid="{00000000-0004-0000-0400-000024000000}"/>
    <hyperlink ref="P34" location="I1_571" display="I1_571" xr:uid="{00000000-0004-0000-0400-000025000000}"/>
    <hyperlink ref="Q34" location="I1_572" display="I1_572" xr:uid="{00000000-0004-0000-0400-000026000000}"/>
    <hyperlink ref="R34" location="I1_573" display="I1_573" xr:uid="{00000000-0004-0000-0400-000027000000}"/>
    <hyperlink ref="S34" location="I1_574" display="I1_574" xr:uid="{00000000-0004-0000-0400-000028000000}"/>
    <hyperlink ref="T34" location="I1_575" display="I1_575" xr:uid="{00000000-0004-0000-0400-000029000000}"/>
    <hyperlink ref="U34" location="I1_576" display="I1_576" xr:uid="{00000000-0004-0000-0400-00002A000000}"/>
    <hyperlink ref="AA34" location="I1_583" display="I1_583" xr:uid="{00000000-0004-0000-0400-00002B000000}"/>
    <hyperlink ref="AB34" location="I1_584" display="I1_584" xr:uid="{00000000-0004-0000-0400-00002C000000}"/>
    <hyperlink ref="AE34" location="I1_587" display="I1_587" xr:uid="{00000000-0004-0000-0400-00002D000000}"/>
    <hyperlink ref="AF34" location="I1_588" display="I1_588" xr:uid="{00000000-0004-0000-0400-00002E000000}"/>
    <hyperlink ref="AG34" location="I1_589" display="I1_589" xr:uid="{00000000-0004-0000-0400-00002F000000}"/>
    <hyperlink ref="AH34" location="I1_551" display="I1_551" xr:uid="{00000000-0004-0000-0400-000030000000}"/>
    <hyperlink ref="J6" location="I1_590" display="I1_590" xr:uid="{00000000-0004-0000-0400-000031000000}"/>
    <hyperlink ref="N34" location="I1_563" display="I1_563" xr:uid="{00000000-0004-0000-0400-000032000000}"/>
    <hyperlink ref="Y34" location="I1_581" display="I1_581" xr:uid="{00000000-0004-0000-0400-000033000000}"/>
    <hyperlink ref="Z34" location="I1_582" display="I1_582" xr:uid="{00000000-0004-0000-0400-000034000000}"/>
    <hyperlink ref="V6" location="I1_591" display="I1_591" xr:uid="{00000000-0004-0000-0400-000035000000}"/>
    <hyperlink ref="AD34" location="I1_586" display="I1_586" xr:uid="{00000000-0004-0000-0400-000036000000}"/>
    <hyperlink ref="W34" location="I1_578" display="I1_578" xr:uid="{00000000-0004-0000-0400-000037000000}"/>
    <hyperlink ref="V34" location="I1_577" display="I1_577" xr:uid="{00000000-0004-0000-0400-000038000000}"/>
  </hyperlinks>
  <pageMargins left="0.78740157480314965" right="0.6692913385826772" top="1.1417322834645669" bottom="1.3385826771653544" header="0.51181102362204722" footer="0.51181102362204722"/>
  <pageSetup paperSize="8" scale="54" fitToHeight="0" orientation="landscape" r:id="rId1"/>
  <headerFooter alignWithMargins="0">
    <oddHeader>&amp;L&amp;G&amp;R&amp;G</oddHeader>
    <oddFooter>&amp;L&amp;"Arial,Standard"&amp;10&amp;F&amp;C&amp;"Arial,Standard"&amp;10&amp;P / &amp;N &amp;R&amp;"Arial,Standard"&amp;10&amp;D</oddFooter>
  </headerFooter>
  <ignoredErrors>
    <ignoredError sqref="G17:G23" unlockedFormula="1"/>
  </ignoredErrors>
  <drawing r:id="rId2"/>
  <legacy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5"/>
  <sheetViews>
    <sheetView zoomScaleNormal="100" workbookViewId="0">
      <selection activeCell="E32" sqref="E32"/>
    </sheetView>
  </sheetViews>
  <sheetFormatPr baseColWidth="10" defaultColWidth="0" defaultRowHeight="12.75" zeroHeight="1" x14ac:dyDescent="0.2"/>
  <cols>
    <col min="1" max="1" width="3.85546875" style="1" customWidth="1"/>
    <col min="2" max="2" width="15.7109375" style="1" customWidth="1"/>
    <col min="3" max="3" width="25.7109375" style="2" customWidth="1"/>
    <col min="4" max="5" width="10.7109375" style="2" customWidth="1"/>
    <col min="6" max="6" width="12.7109375" style="11" customWidth="1"/>
    <col min="7" max="7" width="8.7109375" style="11" customWidth="1"/>
    <col min="8" max="8" width="20.7109375" style="1" customWidth="1"/>
    <col min="9" max="9" width="20.7109375" style="2" customWidth="1"/>
    <col min="10" max="11" width="10.7109375" style="2" customWidth="1"/>
    <col min="12" max="12" width="12.7109375" style="11" customWidth="1"/>
    <col min="13" max="13" width="10.7109375" style="11" customWidth="1"/>
    <col min="14" max="14" width="3.85546875" style="1" customWidth="1"/>
    <col min="15" max="15" width="11.42578125" style="11" hidden="1" customWidth="1"/>
    <col min="16" max="16384" width="10.85546875" style="11" hidden="1"/>
  </cols>
  <sheetData>
    <row r="1" spans="1:29" ht="18" x14ac:dyDescent="0.25">
      <c r="A1" s="38">
        <v>600</v>
      </c>
      <c r="B1" s="259" t="s">
        <v>506</v>
      </c>
      <c r="H1" s="259" t="s">
        <v>506</v>
      </c>
      <c r="N1" s="5"/>
    </row>
    <row r="2" spans="1:29" ht="12.95" customHeight="1" x14ac:dyDescent="0.2">
      <c r="B2" s="5"/>
      <c r="H2" s="5"/>
      <c r="I2" s="39"/>
      <c r="J2" s="40"/>
      <c r="K2" s="40"/>
      <c r="L2" s="41"/>
      <c r="N2" s="11"/>
    </row>
    <row r="3" spans="1:29" ht="12.95" customHeight="1" x14ac:dyDescent="0.2">
      <c r="A3" s="38">
        <v>101</v>
      </c>
      <c r="C3" s="42" t="s">
        <v>260</v>
      </c>
      <c r="H3" s="5" t="s">
        <v>519</v>
      </c>
      <c r="I3" s="43"/>
      <c r="J3" s="40">
        <f>D32</f>
        <v>2024</v>
      </c>
      <c r="K3" s="40">
        <f>E32</f>
        <v>2032</v>
      </c>
      <c r="L3" s="41" t="str">
        <f>"jusqu'à "&amp;B1_Calculs!B60</f>
        <v>jusqu'à 2046</v>
      </c>
      <c r="N3" s="38">
        <v>650</v>
      </c>
    </row>
    <row r="4" spans="1:29" ht="12.95" customHeight="1" x14ac:dyDescent="0.2">
      <c r="A4" s="38">
        <v>105</v>
      </c>
      <c r="B4" s="1" t="s">
        <v>246</v>
      </c>
      <c r="G4" s="1"/>
      <c r="H4" s="5"/>
      <c r="I4" s="43" t="s">
        <v>522</v>
      </c>
      <c r="J4" s="44">
        <f>VLOOKUP(A1_Résultats!J$3,B1_Calculs!$B$36:$AH$60,3)/100</f>
        <v>6.684491978609626E-2</v>
      </c>
      <c r="K4" s="44">
        <f>VLOOKUP(A1_Résultats!K$3,B1_Calculs!$B$36:$AH$60,3)/100</f>
        <v>0.92274469442791995</v>
      </c>
      <c r="L4" s="41"/>
      <c r="N4" s="38">
        <v>553</v>
      </c>
      <c r="O4" s="1"/>
      <c r="P4" s="1"/>
      <c r="Q4" s="1"/>
      <c r="R4" s="1"/>
      <c r="S4" s="1"/>
      <c r="T4" s="1"/>
      <c r="U4" s="1"/>
      <c r="V4" s="2"/>
    </row>
    <row r="5" spans="1:29" s="1" customFormat="1" ht="12.95" customHeight="1" x14ac:dyDescent="0.2">
      <c r="B5" s="5"/>
      <c r="C5" s="2"/>
      <c r="D5" s="2"/>
      <c r="E5" s="2"/>
      <c r="I5" s="45" t="s">
        <v>523</v>
      </c>
      <c r="J5" s="7">
        <f>(VLOOKUP(A1_Résultats!J$3,B1_Calculs!$B$36:$AH$60,2))*((100-Eing_Netzverluste))/100</f>
        <v>125</v>
      </c>
      <c r="K5" s="7">
        <f>(VLOOKUP(A1_Résultats!K$3,B1_Calculs!$B$36:$AH$60,2))*((100-Eing_Netzverluste))/100</f>
        <v>1725.5325785802104</v>
      </c>
      <c r="L5" s="46">
        <f>SUM(B1_Calculs!C36:C60)*((100-Eing_Netzverluste))/100</f>
        <v>35800.273458636424</v>
      </c>
      <c r="M5" s="274" t="s">
        <v>417</v>
      </c>
      <c r="N5" s="38">
        <v>651</v>
      </c>
      <c r="O5" s="4"/>
      <c r="V5" s="2"/>
      <c r="W5" s="2"/>
      <c r="X5" s="2"/>
      <c r="Y5" s="2"/>
      <c r="Z5" s="2"/>
      <c r="AA5" s="2"/>
      <c r="AB5" s="2"/>
      <c r="AC5" s="2"/>
    </row>
    <row r="6" spans="1:29" s="1" customFormat="1" ht="12.95" customHeight="1" x14ac:dyDescent="0.2">
      <c r="A6" s="38">
        <v>106</v>
      </c>
      <c r="B6" s="5" t="s">
        <v>247</v>
      </c>
      <c r="C6" s="5" t="str">
        <f>IF('E1_Données de projet'!C7=0,"",'E1_Données de projet'!C7)</f>
        <v>QMH projet example 2</v>
      </c>
      <c r="D6" s="5"/>
      <c r="E6" s="5"/>
      <c r="F6" s="3"/>
      <c r="I6" s="45" t="s">
        <v>524</v>
      </c>
      <c r="J6" s="7">
        <f>(VLOOKUP(A1_Résultats!J$3,B1_Calculs!$B$36:$AH$60,14))/J5</f>
        <v>1081.3259677777778</v>
      </c>
      <c r="K6" s="7">
        <f>(VLOOKUP(A1_Résultats!K$3,B1_Calculs!$B$36:$AH$60,14))/K5</f>
        <v>149.33435336819849</v>
      </c>
      <c r="L6" s="47">
        <f>SUM(B1_Calculs!O36:O60)/L5</f>
        <v>161.32006395814693</v>
      </c>
      <c r="M6" s="11" t="s">
        <v>8</v>
      </c>
      <c r="N6" s="38">
        <v>652</v>
      </c>
      <c r="O6" s="4"/>
      <c r="S6" s="5"/>
      <c r="V6" s="6"/>
      <c r="W6" s="2"/>
      <c r="X6" s="2"/>
      <c r="Y6" s="2"/>
      <c r="Z6" s="2"/>
      <c r="AA6" s="2"/>
      <c r="AB6" s="2"/>
      <c r="AC6" s="2"/>
    </row>
    <row r="7" spans="1:29" s="1" customFormat="1" ht="12.95" customHeight="1" x14ac:dyDescent="0.2">
      <c r="B7" s="5"/>
      <c r="C7" s="5" t="str">
        <f>IF('E1_Données de projet'!C8=0,"",'E1_Données de projet'!C8)</f>
        <v>Modèle de rentabilité</v>
      </c>
      <c r="D7" s="5"/>
      <c r="E7" s="5"/>
      <c r="F7" s="3"/>
      <c r="L7" s="11"/>
      <c r="M7" s="11"/>
      <c r="O7" s="4"/>
      <c r="S7" s="7"/>
      <c r="V7" s="6"/>
      <c r="W7" s="2"/>
      <c r="X7" s="2"/>
      <c r="Y7" s="2"/>
      <c r="Z7" s="2"/>
      <c r="AA7" s="2"/>
      <c r="AB7" s="2"/>
      <c r="AC7" s="2"/>
    </row>
    <row r="8" spans="1:29" s="1" customFormat="1" ht="12.95" customHeight="1" x14ac:dyDescent="0.2">
      <c r="B8" s="5"/>
      <c r="C8" s="5" t="str">
        <f>IF('E1_Données de projet'!C9=0,"",'E1_Données de projet'!C9)</f>
        <v>CP / lieu</v>
      </c>
      <c r="D8" s="5"/>
      <c r="E8" s="5"/>
      <c r="F8" s="3"/>
      <c r="H8" s="5" t="s">
        <v>520</v>
      </c>
      <c r="J8" s="48"/>
      <c r="K8" s="49"/>
      <c r="L8" s="11"/>
      <c r="M8" s="11"/>
      <c r="N8" s="38">
        <v>653</v>
      </c>
      <c r="O8" s="4"/>
      <c r="S8" s="7"/>
      <c r="V8" s="6"/>
      <c r="W8" s="2"/>
      <c r="X8" s="2"/>
      <c r="Y8" s="2"/>
      <c r="Z8" s="2"/>
      <c r="AA8" s="2"/>
      <c r="AB8" s="2"/>
      <c r="AC8" s="2"/>
    </row>
    <row r="9" spans="1:29" s="1" customFormat="1" ht="12.95" customHeight="1" x14ac:dyDescent="0.2">
      <c r="B9" s="5"/>
      <c r="C9" s="5"/>
      <c r="D9" s="5"/>
      <c r="E9" s="5"/>
      <c r="F9" s="3"/>
      <c r="I9" s="45"/>
      <c r="J9" s="50"/>
      <c r="K9" s="50"/>
      <c r="L9" s="51"/>
      <c r="M9" s="51"/>
      <c r="O9" s="4"/>
      <c r="S9" s="8"/>
      <c r="V9" s="6"/>
      <c r="W9" s="2"/>
      <c r="X9" s="2"/>
      <c r="Y9" s="2"/>
      <c r="Z9" s="2"/>
      <c r="AA9" s="2"/>
      <c r="AB9" s="2"/>
      <c r="AC9" s="2"/>
    </row>
    <row r="10" spans="1:29" s="1" customFormat="1" ht="12.95" customHeight="1" x14ac:dyDescent="0.2">
      <c r="A10" s="38">
        <v>107</v>
      </c>
      <c r="B10" s="5" t="s">
        <v>248</v>
      </c>
      <c r="C10" s="5" t="str">
        <f>IF('E1_Données de projet'!C11=0,"",'E1_Données de projet'!C11)</f>
        <v>date, nome</v>
      </c>
      <c r="D10" s="5"/>
      <c r="E10" s="5"/>
      <c r="F10" s="3"/>
      <c r="L10" s="11"/>
      <c r="M10" s="11"/>
      <c r="V10" s="2"/>
      <c r="W10" s="2"/>
      <c r="X10" s="2"/>
      <c r="Y10" s="2"/>
      <c r="Z10" s="2"/>
      <c r="AA10" s="2"/>
      <c r="AB10" s="2"/>
      <c r="AC10" s="2"/>
    </row>
    <row r="11" spans="1:29" s="1" customFormat="1" ht="12.95" customHeight="1" x14ac:dyDescent="0.2">
      <c r="G11" s="5"/>
      <c r="L11" s="11"/>
      <c r="M11" s="11"/>
      <c r="O11" s="5"/>
      <c r="P11" s="5"/>
      <c r="Q11" s="9"/>
      <c r="R11" s="5"/>
      <c r="S11" s="5"/>
      <c r="T11" s="9"/>
      <c r="U11" s="5"/>
      <c r="V11" s="2"/>
      <c r="W11" s="2"/>
      <c r="X11" s="2"/>
      <c r="Y11" s="2"/>
      <c r="Z11" s="2"/>
      <c r="AA11" s="2"/>
      <c r="AB11" s="2"/>
      <c r="AC11" s="2"/>
    </row>
    <row r="12" spans="1:29" s="5" customFormat="1" ht="12.95" customHeight="1" x14ac:dyDescent="0.2">
      <c r="A12" s="52">
        <v>501</v>
      </c>
      <c r="B12" s="53" t="s">
        <v>459</v>
      </c>
      <c r="C12" s="283" t="str">
        <f>IF('E1_Données de projet'!C13&lt;&gt;"","Il y a des avertissements dans le registre 'E1_Données de projet'!","")</f>
        <v>Il y a des avertissements dans le registre 'E1_Données de projet'!</v>
      </c>
      <c r="D12" s="283"/>
      <c r="E12" s="283"/>
      <c r="F12" s="283"/>
      <c r="G12" s="283"/>
      <c r="H12" s="1"/>
      <c r="I12" s="1"/>
      <c r="J12" s="1"/>
      <c r="K12" s="1"/>
      <c r="L12" s="11"/>
      <c r="M12" s="11"/>
      <c r="N12" s="1"/>
      <c r="O12" s="11"/>
      <c r="P12" s="11"/>
      <c r="Q12" s="11"/>
      <c r="R12" s="11"/>
      <c r="S12" s="11"/>
      <c r="T12" s="11"/>
      <c r="U12" s="11"/>
      <c r="V12" s="11"/>
      <c r="W12" s="2"/>
      <c r="X12" s="10"/>
      <c r="Y12" s="10"/>
      <c r="Z12" s="10"/>
      <c r="AA12" s="10"/>
      <c r="AB12" s="10"/>
      <c r="AC12" s="10"/>
    </row>
    <row r="13" spans="1:29" ht="6" customHeight="1" x14ac:dyDescent="0.2">
      <c r="A13" s="51"/>
      <c r="B13" s="5"/>
      <c r="C13" s="9"/>
      <c r="D13" s="5"/>
      <c r="E13" s="1"/>
      <c r="I13" s="1"/>
      <c r="J13" s="1"/>
      <c r="K13" s="1"/>
    </row>
    <row r="14" spans="1:29" ht="12.95" customHeight="1" x14ac:dyDescent="0.2">
      <c r="A14" s="38">
        <v>110</v>
      </c>
      <c r="B14" s="5" t="s">
        <v>250</v>
      </c>
      <c r="C14" s="1"/>
      <c r="D14" s="1"/>
      <c r="E14" s="1"/>
      <c r="I14" s="1"/>
      <c r="J14" s="1"/>
      <c r="K14" s="1"/>
    </row>
    <row r="15" spans="1:29" ht="12.95" customHeight="1" x14ac:dyDescent="0.2">
      <c r="A15" s="38">
        <v>111</v>
      </c>
      <c r="C15" s="45" t="s">
        <v>263</v>
      </c>
      <c r="D15" s="7">
        <f>Eing_verkaufteWM</f>
        <v>1870</v>
      </c>
      <c r="E15" s="1" t="s">
        <v>417</v>
      </c>
      <c r="I15" s="1"/>
      <c r="J15" s="1"/>
      <c r="K15" s="1"/>
    </row>
    <row r="16" spans="1:29" ht="12.95" customHeight="1" x14ac:dyDescent="0.2">
      <c r="A16" s="38">
        <v>112</v>
      </c>
      <c r="C16" s="45" t="s">
        <v>264</v>
      </c>
      <c r="D16" s="7">
        <f>Eing_Netzverluste</f>
        <v>10</v>
      </c>
      <c r="E16" s="1" t="s">
        <v>1</v>
      </c>
      <c r="I16" s="1"/>
      <c r="J16" s="1"/>
      <c r="K16" s="1"/>
    </row>
    <row r="17" spans="1:16" ht="12.95" customHeight="1" x14ac:dyDescent="0.2">
      <c r="C17" s="1"/>
      <c r="D17" s="1"/>
      <c r="E17" s="1"/>
      <c r="I17" s="1"/>
      <c r="J17" s="1"/>
      <c r="K17" s="1"/>
    </row>
    <row r="18" spans="1:16" ht="12.95" customHeight="1" x14ac:dyDescent="0.2">
      <c r="A18" s="38">
        <v>114</v>
      </c>
      <c r="C18" s="45" t="s">
        <v>266</v>
      </c>
      <c r="D18" s="50">
        <f>Eing_Beginnjahr</f>
        <v>2022</v>
      </c>
      <c r="E18" s="1"/>
      <c r="I18" s="1"/>
      <c r="J18" s="1"/>
      <c r="K18" s="1"/>
    </row>
    <row r="19" spans="1:16" ht="12.95" customHeight="1" x14ac:dyDescent="0.2">
      <c r="A19" s="38">
        <v>115</v>
      </c>
      <c r="C19" s="45" t="s">
        <v>267</v>
      </c>
      <c r="D19" s="50">
        <f>'E1_Données de projet'!D22</f>
        <v>2024</v>
      </c>
      <c r="E19" s="1"/>
      <c r="I19" s="1"/>
      <c r="J19" s="1"/>
      <c r="K19" s="1"/>
    </row>
    <row r="20" spans="1:16" ht="6" customHeight="1" x14ac:dyDescent="0.2">
      <c r="A20" s="38"/>
      <c r="C20" s="45"/>
      <c r="D20" s="50"/>
      <c r="E20" s="1"/>
      <c r="F20" s="54"/>
      <c r="I20" s="1"/>
      <c r="J20" s="1"/>
      <c r="K20" s="1"/>
    </row>
    <row r="21" spans="1:16" ht="12.95" customHeight="1" x14ac:dyDescent="0.2">
      <c r="A21" s="38">
        <v>610</v>
      </c>
      <c r="B21" s="5" t="s">
        <v>253</v>
      </c>
      <c r="C21" s="45"/>
      <c r="D21" s="1"/>
      <c r="E21" s="1"/>
      <c r="F21" s="55"/>
      <c r="G21" s="41"/>
      <c r="I21" s="1"/>
      <c r="J21" s="1"/>
      <c r="K21" s="1"/>
    </row>
    <row r="22" spans="1:16" ht="12.95" customHeight="1" x14ac:dyDescent="0.2">
      <c r="A22" s="38">
        <v>151</v>
      </c>
      <c r="C22" s="43" t="s">
        <v>284</v>
      </c>
      <c r="D22" s="7">
        <f>Eing_Kosten_Bau</f>
        <v>500000</v>
      </c>
      <c r="E22" s="1" t="s">
        <v>9</v>
      </c>
      <c r="F22" s="46"/>
      <c r="I22" s="1"/>
      <c r="J22" s="40">
        <f>D32</f>
        <v>2024</v>
      </c>
      <c r="K22" s="40">
        <f>E32</f>
        <v>2032</v>
      </c>
      <c r="L22" s="56">
        <f>B1_Calculs!B60</f>
        <v>2046</v>
      </c>
      <c r="N22" s="55"/>
    </row>
    <row r="23" spans="1:16" ht="12.95" customHeight="1" x14ac:dyDescent="0.2">
      <c r="A23" s="38">
        <v>612</v>
      </c>
      <c r="C23" s="43" t="s">
        <v>509</v>
      </c>
      <c r="D23" s="7">
        <f>SUM('E1_Données de projet'!D49:D51)</f>
        <v>400000</v>
      </c>
      <c r="E23" s="1" t="s">
        <v>9</v>
      </c>
      <c r="F23" s="46"/>
      <c r="H23" s="5" t="s">
        <v>521</v>
      </c>
      <c r="I23" s="45" t="s">
        <v>502</v>
      </c>
      <c r="J23" s="7">
        <f>(VLOOKUP(A1_Résultats!J$22,B1_Calculs!$B$36:$AH$60,30))</f>
        <v>-866666.66666666663</v>
      </c>
      <c r="K23" s="7">
        <f>(VLOOKUP(A1_Résultats!K$22,B1_Calculs!$B$36:$AH$60,30))</f>
        <v>-405333.33333333326</v>
      </c>
      <c r="L23" s="7">
        <f>(VLOOKUP(A1_Résultats!L$22,B1_Calculs!$B$36:$AH$60,30))</f>
        <v>0</v>
      </c>
      <c r="M23" s="7"/>
      <c r="N23" s="38">
        <v>587</v>
      </c>
    </row>
    <row r="24" spans="1:16" ht="12.95" customHeight="1" x14ac:dyDescent="0.2">
      <c r="A24" s="38">
        <v>613</v>
      </c>
      <c r="C24" s="43" t="s">
        <v>510</v>
      </c>
      <c r="D24" s="7">
        <f>SUM('E1_Données de projet'!D52:D54)</f>
        <v>720000</v>
      </c>
      <c r="E24" s="1" t="s">
        <v>9</v>
      </c>
      <c r="F24" s="46"/>
      <c r="H24" s="5"/>
      <c r="I24" s="45" t="s">
        <v>525</v>
      </c>
      <c r="J24" s="7">
        <f>(VLOOKUP(A1_Résultats!J$22,B1_Calculs!$B$36:$AH$60,31))</f>
        <v>1376166.6666666667</v>
      </c>
      <c r="K24" s="7">
        <f>(VLOOKUP(A1_Résultats!K$22,B1_Calculs!$B$36:$AH$60,31))</f>
        <v>1025500.0000000006</v>
      </c>
      <c r="L24" s="7">
        <f>(VLOOKUP(A1_Résultats!L$22,B1_Calculs!$B$36:$AH$60,31))</f>
        <v>908200.32383242901</v>
      </c>
      <c r="M24" s="7"/>
      <c r="N24" s="38">
        <v>588</v>
      </c>
    </row>
    <row r="25" spans="1:16" ht="12.95" customHeight="1" x14ac:dyDescent="0.2">
      <c r="A25" s="38">
        <v>157</v>
      </c>
      <c r="C25" s="43" t="s">
        <v>291</v>
      </c>
      <c r="D25" s="7">
        <f>Eing_Kosten_Planung_QM</f>
        <v>15000</v>
      </c>
      <c r="E25" s="1" t="s">
        <v>9</v>
      </c>
      <c r="F25" s="46"/>
      <c r="H25" s="5"/>
      <c r="I25" s="45" t="s">
        <v>504</v>
      </c>
      <c r="J25" s="57">
        <f>(VLOOKUP(A1_Résultats!J$22,B1_Calculs!$B$36:$AH$60,32))</f>
        <v>-0.14419116148024913</v>
      </c>
      <c r="K25" s="57">
        <f>(VLOOKUP(A1_Résultats!K$22,B1_Calculs!$B$36:$AH$60,32))</f>
        <v>6.2344265962196443E-2</v>
      </c>
      <c r="L25" s="57">
        <f>(VLOOKUP(A1_Résultats!L$22,B1_Calculs!$B$36:$AH$60,32))</f>
        <v>6.2740875258071149E-2</v>
      </c>
      <c r="M25" s="7"/>
      <c r="N25" s="38">
        <v>589</v>
      </c>
    </row>
    <row r="26" spans="1:16" ht="12.95" customHeight="1" x14ac:dyDescent="0.2">
      <c r="A26" s="38">
        <v>158</v>
      </c>
      <c r="B26" s="5"/>
      <c r="C26" s="39" t="s">
        <v>292</v>
      </c>
      <c r="D26" s="58">
        <f>Gesamtinvestition</f>
        <v>1635000</v>
      </c>
      <c r="E26" s="5" t="s">
        <v>9</v>
      </c>
      <c r="F26" s="59"/>
      <c r="G26" s="36"/>
      <c r="I26" s="1"/>
      <c r="J26" s="1"/>
      <c r="K26" s="1"/>
      <c r="P26" s="60"/>
    </row>
    <row r="27" spans="1:16" ht="12.95" customHeight="1" x14ac:dyDescent="0.2">
      <c r="A27" s="38">
        <v>615</v>
      </c>
      <c r="B27" s="5" t="s">
        <v>507</v>
      </c>
      <c r="C27" s="43"/>
      <c r="D27" s="1"/>
      <c r="E27" s="1"/>
      <c r="N27" s="38">
        <v>591</v>
      </c>
    </row>
    <row r="28" spans="1:16" ht="12.95" customHeight="1" x14ac:dyDescent="0.2">
      <c r="A28" s="38">
        <v>161</v>
      </c>
      <c r="C28" s="43" t="s">
        <v>511</v>
      </c>
      <c r="D28" s="7">
        <f>SUM(Eing_Kredit_1,Eing_Kredit_2)</f>
        <v>1120000</v>
      </c>
      <c r="E28" s="1" t="s">
        <v>9</v>
      </c>
    </row>
    <row r="29" spans="1:16" ht="12.95" customHeight="1" x14ac:dyDescent="0.2">
      <c r="A29" s="38">
        <v>191</v>
      </c>
      <c r="C29" s="45" t="s">
        <v>318</v>
      </c>
      <c r="D29" s="7">
        <f>SUM(Einmaliger_Förderbeitrag_1,Einmaliger_Förderbeitrag_2,(jährlicher_Förderbeitrag*Eing_Förderung_wiederholend_Laufzeit))</f>
        <v>359000</v>
      </c>
      <c r="E29" s="1" t="s">
        <v>9</v>
      </c>
    </row>
    <row r="30" spans="1:16" ht="12.95" customHeight="1" x14ac:dyDescent="0.2">
      <c r="A30" s="38">
        <v>531</v>
      </c>
      <c r="C30" s="45" t="s">
        <v>471</v>
      </c>
      <c r="D30" s="7">
        <f>maxEigenkapital</f>
        <v>684972.44168055546</v>
      </c>
      <c r="E30" s="1" t="s">
        <v>9</v>
      </c>
      <c r="F30" s="61" t="s">
        <v>21</v>
      </c>
      <c r="G30" s="62">
        <f>B1_Calculs!I29</f>
        <v>2024</v>
      </c>
    </row>
    <row r="31" spans="1:16" ht="6" customHeight="1" x14ac:dyDescent="0.2">
      <c r="A31" s="51"/>
      <c r="C31" s="43"/>
      <c r="D31" s="7"/>
      <c r="E31" s="1"/>
    </row>
    <row r="32" spans="1:16" ht="12.95" customHeight="1" x14ac:dyDescent="0.2">
      <c r="A32" s="38">
        <v>620</v>
      </c>
      <c r="B32" s="5" t="s">
        <v>324</v>
      </c>
      <c r="C32" s="39"/>
      <c r="D32" s="40">
        <f>D19</f>
        <v>2024</v>
      </c>
      <c r="E32" s="63">
        <v>2032</v>
      </c>
      <c r="F32" s="41" t="str">
        <f>"jusqu'à "&amp;B1_Calculs!B60</f>
        <v>jusqu'à 2046</v>
      </c>
    </row>
    <row r="33" spans="1:14" ht="12.95" customHeight="1" x14ac:dyDescent="0.2">
      <c r="A33" s="38"/>
      <c r="B33" s="5"/>
      <c r="C33" s="39"/>
      <c r="D33" s="64" t="s">
        <v>518</v>
      </c>
      <c r="E33" s="64" t="s">
        <v>518</v>
      </c>
      <c r="F33" s="61" t="s">
        <v>20</v>
      </c>
      <c r="H33" s="5"/>
      <c r="I33" s="1"/>
      <c r="J33" s="48"/>
      <c r="K33" s="49"/>
      <c r="N33" s="38"/>
    </row>
    <row r="34" spans="1:14" ht="12.95" customHeight="1" x14ac:dyDescent="0.2">
      <c r="A34" s="38">
        <v>621</v>
      </c>
      <c r="B34" s="1" t="s">
        <v>508</v>
      </c>
      <c r="C34" s="45" t="s">
        <v>512</v>
      </c>
      <c r="D34" s="7">
        <f>SUM(VLOOKUP(A1_Résultats!D32,B1_Calculs!$B$36:$AH$60,4),VLOOKUP(A1_Résultats!D32,B1_Calculs!$B$36:$AH$60,5),VLOOKUP(A1_Résultats!D32,B1_Calculs!$B$36:$AH$60,6))</f>
        <v>9173.8159722222226</v>
      </c>
      <c r="E34" s="7">
        <f>SUM(VLOOKUP(A1_Résultats!E32,B1_Calculs!$B$36:$AH$60,4),VLOOKUP(A1_Résultats!E32,B1_Calculs!$B$36:$AH$60,5),VLOOKUP(A1_Résultats!E32,B1_Calculs!$B$36:$AH$60,6))</f>
        <v>137130.53313448475</v>
      </c>
      <c r="F34" s="7">
        <f>SUM(B1_Calculs!E36:G60)</f>
        <v>2947204.6023600246</v>
      </c>
      <c r="G34" s="1"/>
      <c r="H34" s="5"/>
      <c r="I34" s="1"/>
      <c r="J34" s="48"/>
      <c r="K34" s="49"/>
      <c r="N34" s="38"/>
    </row>
    <row r="35" spans="1:14" ht="12.95" customHeight="1" x14ac:dyDescent="0.2">
      <c r="A35" s="38">
        <v>622</v>
      </c>
      <c r="C35" s="45" t="s">
        <v>513</v>
      </c>
      <c r="D35" s="7">
        <f>SUM(VLOOKUP(A1_Résultats!D$32,B1_Calculs!$B$36:$AH$60,7),VLOOKUP(A1_Résultats!D$32,B1_Calculs!$B$36:$AH$60,8),VLOOKUP(A1_Résultats!D$32,B1_Calculs!$B$36:$AH$60,9),VLOOKUP(A1_Résultats!D$32,B1_Calculs!$B$36:$AH$60,10))</f>
        <v>60491.93</v>
      </c>
      <c r="E35" s="7">
        <f>SUM(VLOOKUP(A1_Résultats!E$32,B1_Calculs!$B$36:$AH$60,7),VLOOKUP(A1_Résultats!E$32,B1_Calculs!$B$36:$AH$60,8),VLOOKUP(A1_Résultats!E$32,B1_Calculs!$B$36:$AH$60,9),VLOOKUP(A1_Résultats!E$32,B1_Calculs!$B$36:$AH$60,10))</f>
        <v>65504.092036884438</v>
      </c>
      <c r="F35" s="7">
        <f>SUM(B1_Calculs!H36:J60,B1_Calculs!K36:K60)</f>
        <v>1590602.7304521955</v>
      </c>
      <c r="G35" s="1"/>
      <c r="H35" s="5"/>
      <c r="I35" s="1"/>
      <c r="J35" s="48"/>
      <c r="K35" s="49"/>
      <c r="N35" s="38"/>
    </row>
    <row r="36" spans="1:14" ht="12.95" customHeight="1" x14ac:dyDescent="0.2">
      <c r="A36" s="38">
        <v>623</v>
      </c>
      <c r="C36" s="45" t="s">
        <v>514</v>
      </c>
      <c r="D36" s="7">
        <f>SUM(VLOOKUP(A1_Résultats!D$32,B1_Calculs!$B$36:$AH$60,12),VLOOKUP(A1_Résultats!D$32,B1_Calculs!$B$36:$AH$60,13))</f>
        <v>65500.000000000007</v>
      </c>
      <c r="E36" s="7">
        <f>SUM(VLOOKUP(A1_Résultats!E$32,B1_Calculs!$B$36:$AH$60,12),VLOOKUP(A1_Résultats!E$32,B1_Calculs!$B$36:$AH$60,13))</f>
        <v>55046.666666666672</v>
      </c>
      <c r="F36" s="7">
        <f>SUM(B1_Calculs!M36:N60)</f>
        <v>1237495.0712541584</v>
      </c>
      <c r="G36" s="1"/>
      <c r="H36" s="5"/>
      <c r="I36" s="1"/>
      <c r="J36" s="48"/>
      <c r="K36" s="49"/>
      <c r="N36" s="38"/>
    </row>
    <row r="37" spans="1:14" ht="12.95" customHeight="1" x14ac:dyDescent="0.2">
      <c r="A37" s="38">
        <v>624</v>
      </c>
      <c r="B37" s="5"/>
      <c r="C37" s="39" t="s">
        <v>491</v>
      </c>
      <c r="D37" s="58">
        <f>SUM(D34:D36)</f>
        <v>135165.74597222224</v>
      </c>
      <c r="E37" s="58">
        <f t="shared" ref="E37:F37" si="0">SUM(E34:E36)</f>
        <v>257681.29183803586</v>
      </c>
      <c r="F37" s="58">
        <f t="shared" si="0"/>
        <v>5775302.4040663783</v>
      </c>
      <c r="G37" s="58"/>
      <c r="I37" s="45"/>
      <c r="J37" s="50"/>
      <c r="K37" s="50"/>
      <c r="N37" s="38"/>
    </row>
    <row r="38" spans="1:14" ht="12.95" customHeight="1" x14ac:dyDescent="0.2">
      <c r="A38" s="38">
        <v>625</v>
      </c>
      <c r="B38" s="1" t="s">
        <v>478</v>
      </c>
      <c r="C38" s="45" t="s">
        <v>515</v>
      </c>
      <c r="D38" s="7">
        <f>SUM(VLOOKUP(A1_Résultats!D$32,B1_Calculs!$B$36:$AH$60,15),VLOOKUP(A1_Résultats!D$32,B1_Calculs!$B$36:$AH$60,16))</f>
        <v>99000.637625000003</v>
      </c>
      <c r="E38" s="7">
        <f>SUM(VLOOKUP(A1_Résultats!E$32,B1_Calculs!$B$36:$AH$60,15),VLOOKUP(A1_Résultats!E$32,B1_Calculs!$B$36:$AH$60,16))</f>
        <v>292912.03927331022</v>
      </c>
      <c r="F38" s="7">
        <f>SUM(B1_Calculs!P36:Q60)</f>
        <v>7034869.809194847</v>
      </c>
      <c r="G38" s="1"/>
    </row>
    <row r="39" spans="1:14" ht="12.95" customHeight="1" x14ac:dyDescent="0.2">
      <c r="A39" s="38">
        <v>626</v>
      </c>
      <c r="C39" s="45" t="s">
        <v>516</v>
      </c>
      <c r="D39" s="7">
        <f>SUM(VLOOKUP(A1_Résultats!D$32,B1_Calculs!$B$36:$AH$60,17),VLOOKUP(A1_Résultats!D$32,B1_Calculs!$B$36:$AH$60,18))</f>
        <v>159000</v>
      </c>
      <c r="E39" s="7">
        <f>SUM(VLOOKUP(A1_Résultats!E$32,B1_Calculs!$B$36:$AH$60,17),VLOOKUP(A1_Résultats!E$32,B1_Calculs!$B$36:$AH$60,18))</f>
        <v>10000</v>
      </c>
      <c r="F39" s="7">
        <f>SUM(B1_Calculs!R36:S60)</f>
        <v>359000</v>
      </c>
      <c r="G39" s="1"/>
      <c r="H39" s="5"/>
      <c r="I39" s="1"/>
      <c r="J39" s="48"/>
      <c r="K39" s="65"/>
      <c r="N39" s="38"/>
    </row>
    <row r="40" spans="1:14" ht="12.95" customHeight="1" x14ac:dyDescent="0.2">
      <c r="A40" s="38">
        <v>627</v>
      </c>
      <c r="B40" s="5"/>
      <c r="C40" s="66" t="s">
        <v>517</v>
      </c>
      <c r="D40" s="58">
        <f>SUM(D38:D39)</f>
        <v>258000.637625</v>
      </c>
      <c r="E40" s="58">
        <f>SUM(E38:E39)</f>
        <v>302912.03927331022</v>
      </c>
      <c r="F40" s="58">
        <f>SUM(F38:F39)</f>
        <v>7393869.809194847</v>
      </c>
      <c r="G40" s="58"/>
      <c r="I40" s="45"/>
      <c r="J40" s="50"/>
      <c r="K40" s="50"/>
      <c r="N40" s="38"/>
    </row>
    <row r="41" spans="1:14" ht="6" customHeight="1" x14ac:dyDescent="0.2">
      <c r="A41" s="38"/>
      <c r="B41" s="5"/>
      <c r="C41" s="66"/>
      <c r="D41" s="58"/>
      <c r="E41" s="58"/>
      <c r="F41" s="58"/>
      <c r="G41" s="58"/>
      <c r="I41" s="45"/>
      <c r="J41" s="50"/>
      <c r="K41" s="50"/>
      <c r="N41" s="38"/>
    </row>
    <row r="42" spans="1:14" ht="12.95" customHeight="1" x14ac:dyDescent="0.2">
      <c r="A42" s="38">
        <v>590</v>
      </c>
      <c r="B42" s="5"/>
      <c r="C42" s="45"/>
      <c r="D42" s="7"/>
      <c r="E42" s="7"/>
      <c r="F42" s="7"/>
      <c r="G42" s="7"/>
      <c r="H42" s="5" t="s">
        <v>526</v>
      </c>
      <c r="N42" s="38">
        <v>690</v>
      </c>
    </row>
    <row r="43" spans="1:14" ht="12.95" customHeight="1" x14ac:dyDescent="0.2">
      <c r="B43" s="5"/>
      <c r="C43" s="45"/>
      <c r="D43" s="7"/>
      <c r="E43" s="7"/>
      <c r="F43" s="7"/>
      <c r="G43" s="7"/>
      <c r="H43" s="284"/>
      <c r="I43" s="284"/>
      <c r="J43" s="284"/>
      <c r="K43" s="284"/>
      <c r="L43" s="284"/>
      <c r="M43" s="284"/>
    </row>
    <row r="44" spans="1:14" ht="12.95" customHeight="1" x14ac:dyDescent="0.2">
      <c r="B44" s="5"/>
      <c r="C44" s="45"/>
      <c r="D44" s="57"/>
      <c r="E44" s="57"/>
      <c r="F44" s="57"/>
      <c r="G44" s="7"/>
      <c r="H44" s="284"/>
      <c r="I44" s="284"/>
      <c r="J44" s="284"/>
      <c r="K44" s="284"/>
      <c r="L44" s="284"/>
      <c r="M44" s="284"/>
    </row>
    <row r="45" spans="1:14" ht="12.95" customHeight="1" x14ac:dyDescent="0.2">
      <c r="B45" s="5"/>
      <c r="C45" s="66"/>
      <c r="D45" s="58"/>
      <c r="E45" s="58"/>
      <c r="F45" s="58"/>
      <c r="G45" s="58"/>
      <c r="H45" s="284"/>
      <c r="I45" s="284"/>
      <c r="J45" s="284"/>
      <c r="K45" s="284"/>
      <c r="L45" s="284"/>
      <c r="M45" s="284"/>
    </row>
    <row r="46" spans="1:14" ht="12.95" customHeight="1" x14ac:dyDescent="0.2">
      <c r="C46" s="1"/>
      <c r="D46" s="1"/>
      <c r="E46" s="1"/>
      <c r="H46" s="284"/>
      <c r="I46" s="284"/>
      <c r="J46" s="284"/>
      <c r="K46" s="284"/>
      <c r="L46" s="284"/>
      <c r="M46" s="284"/>
    </row>
    <row r="47" spans="1:14" x14ac:dyDescent="0.2">
      <c r="C47" s="1"/>
      <c r="D47" s="1"/>
      <c r="E47" s="1"/>
      <c r="H47" s="284"/>
      <c r="I47" s="284"/>
      <c r="J47" s="284"/>
      <c r="K47" s="284"/>
      <c r="L47" s="284"/>
      <c r="M47" s="284"/>
    </row>
    <row r="48" spans="1:14" x14ac:dyDescent="0.2">
      <c r="C48" s="1"/>
      <c r="D48" s="1"/>
      <c r="E48" s="1"/>
      <c r="H48" s="284"/>
      <c r="I48" s="284"/>
      <c r="J48" s="284"/>
      <c r="K48" s="284"/>
      <c r="L48" s="284"/>
      <c r="M48" s="284"/>
    </row>
    <row r="49" spans="3:13" x14ac:dyDescent="0.2">
      <c r="C49" s="1"/>
      <c r="D49" s="1"/>
      <c r="E49" s="1"/>
      <c r="H49" s="284"/>
      <c r="I49" s="284"/>
      <c r="J49" s="284"/>
      <c r="K49" s="284"/>
      <c r="L49" s="284"/>
      <c r="M49" s="284"/>
    </row>
    <row r="50" spans="3:13" x14ac:dyDescent="0.2">
      <c r="C50" s="1"/>
      <c r="D50" s="1"/>
      <c r="E50" s="1"/>
      <c r="H50" s="284"/>
      <c r="I50" s="284"/>
      <c r="J50" s="284"/>
      <c r="K50" s="284"/>
      <c r="L50" s="284"/>
      <c r="M50" s="284"/>
    </row>
    <row r="51" spans="3:13" x14ac:dyDescent="0.2">
      <c r="C51" s="1"/>
      <c r="D51" s="1"/>
      <c r="E51" s="1"/>
      <c r="H51" s="284"/>
      <c r="I51" s="284"/>
      <c r="J51" s="284"/>
      <c r="K51" s="284"/>
      <c r="L51" s="284"/>
      <c r="M51" s="284"/>
    </row>
    <row r="52" spans="3:13" x14ac:dyDescent="0.2">
      <c r="C52" s="1"/>
      <c r="D52" s="1"/>
      <c r="E52" s="1"/>
      <c r="H52" s="284"/>
      <c r="I52" s="284"/>
      <c r="J52" s="284"/>
      <c r="K52" s="284"/>
      <c r="L52" s="284"/>
      <c r="M52" s="284"/>
    </row>
    <row r="53" spans="3:13" x14ac:dyDescent="0.2">
      <c r="C53" s="1"/>
      <c r="D53" s="1"/>
      <c r="E53" s="1"/>
      <c r="H53" s="284"/>
      <c r="I53" s="284"/>
      <c r="J53" s="284"/>
      <c r="K53" s="284"/>
      <c r="L53" s="284"/>
      <c r="M53" s="284"/>
    </row>
    <row r="54" spans="3:13" x14ac:dyDescent="0.2">
      <c r="C54" s="1"/>
      <c r="D54" s="1"/>
      <c r="E54" s="1"/>
      <c r="H54" s="284"/>
      <c r="I54" s="284"/>
      <c r="J54" s="284"/>
      <c r="K54" s="284"/>
      <c r="L54" s="284"/>
      <c r="M54" s="284"/>
    </row>
    <row r="55" spans="3:13" x14ac:dyDescent="0.2">
      <c r="C55" s="1"/>
      <c r="D55" s="1"/>
      <c r="E55" s="1"/>
      <c r="H55" s="284"/>
      <c r="I55" s="284"/>
      <c r="J55" s="284"/>
      <c r="K55" s="284"/>
      <c r="L55" s="284"/>
      <c r="M55" s="284"/>
    </row>
    <row r="56" spans="3:13" x14ac:dyDescent="0.2">
      <c r="C56" s="1"/>
      <c r="D56" s="1"/>
      <c r="E56" s="1"/>
      <c r="H56" s="284"/>
      <c r="I56" s="284"/>
      <c r="J56" s="284"/>
      <c r="K56" s="284"/>
      <c r="L56" s="284"/>
      <c r="M56" s="284"/>
    </row>
    <row r="57" spans="3:13" x14ac:dyDescent="0.2">
      <c r="C57" s="1"/>
      <c r="D57" s="1"/>
      <c r="E57" s="1"/>
      <c r="H57" s="284"/>
      <c r="I57" s="284"/>
      <c r="J57" s="284"/>
      <c r="K57" s="284"/>
      <c r="L57" s="284"/>
      <c r="M57" s="284"/>
    </row>
    <row r="58" spans="3:13" x14ac:dyDescent="0.2">
      <c r="C58" s="1"/>
      <c r="D58" s="1"/>
      <c r="E58" s="1"/>
      <c r="H58" s="284"/>
      <c r="I58" s="284"/>
      <c r="J58" s="284"/>
      <c r="K58" s="284"/>
      <c r="L58" s="284"/>
      <c r="M58" s="284"/>
    </row>
    <row r="59" spans="3:13" x14ac:dyDescent="0.2">
      <c r="C59" s="1"/>
      <c r="D59" s="1"/>
      <c r="E59" s="1"/>
      <c r="H59" s="284"/>
      <c r="I59" s="284"/>
      <c r="J59" s="284"/>
      <c r="K59" s="284"/>
      <c r="L59" s="284"/>
      <c r="M59" s="284"/>
    </row>
    <row r="60" spans="3:13" hidden="1" x14ac:dyDescent="0.2">
      <c r="C60" s="1"/>
      <c r="D60" s="1"/>
      <c r="E60" s="1"/>
    </row>
    <row r="61" spans="3:13" hidden="1" x14ac:dyDescent="0.2">
      <c r="C61" s="1"/>
      <c r="D61" s="1"/>
      <c r="E61" s="1"/>
    </row>
    <row r="62" spans="3:13" hidden="1" x14ac:dyDescent="0.2">
      <c r="C62" s="1"/>
      <c r="D62" s="1"/>
      <c r="E62" s="1"/>
    </row>
    <row r="63" spans="3:13" hidden="1" x14ac:dyDescent="0.2">
      <c r="C63" s="1"/>
      <c r="D63" s="1"/>
      <c r="E63" s="1"/>
    </row>
    <row r="64" spans="3:13" hidden="1" x14ac:dyDescent="0.2">
      <c r="C64" s="1"/>
      <c r="D64" s="1"/>
      <c r="E64" s="1"/>
    </row>
    <row r="65" spans="3:5" hidden="1" x14ac:dyDescent="0.2">
      <c r="C65" s="1"/>
      <c r="D65" s="1"/>
      <c r="E65" s="1"/>
    </row>
  </sheetData>
  <sheetProtection algorithmName="SHA-512" hashValue="+ifQro8pY1YChpMunuT57jcXlSicxBEQ8F16WOtdcQHl+5Dv2L3jKVtWAerHRIAbgj+By5+PrlnHC71SRgXjbQ==" saltValue="76GFnwZOnzRyDfoDo3rXAg==" spinCount="100000" sheet="1" objects="1" scenarios="1"/>
  <mergeCells count="2">
    <mergeCell ref="C12:G12"/>
    <mergeCell ref="H43:M59"/>
  </mergeCells>
  <dataValidations count="1">
    <dataValidation allowBlank="1" errorTitle="Jahr ausserhalb der Betrachtung" error="Es können nur Jahre innerhalb des Betrachtungszeitraumes von 25 Jahren ab Projektstart ausgewertet werden." promptTitle="Auswertungsjahr" prompt="Jahr innerhalb des Betrachtungsraumes eingeben" sqref="E33" xr:uid="{8135944E-C3D3-4FD3-92EB-79A529F04DD5}"/>
  </dataValidations>
  <hyperlinks>
    <hyperlink ref="A1" location="I1_600" display="I1_600" xr:uid="{00000000-0004-0000-0500-000000000000}"/>
    <hyperlink ref="A3" location="I1_101" display="I1_101" xr:uid="{00000000-0004-0000-0500-000001000000}"/>
    <hyperlink ref="A4" location="I1_105" display="I1_105" xr:uid="{00000000-0004-0000-0500-000002000000}"/>
    <hyperlink ref="A6" location="I1_106" display="I1_106" xr:uid="{00000000-0004-0000-0500-000003000000}"/>
    <hyperlink ref="A10" location="I1_107" display="I1_107" xr:uid="{00000000-0004-0000-0500-000004000000}"/>
    <hyperlink ref="A12" location="I1_501" display="I1_501" xr:uid="{00000000-0004-0000-0500-000005000000}"/>
    <hyperlink ref="A14" location="I1_110" display="I1_110" xr:uid="{00000000-0004-0000-0500-000006000000}"/>
    <hyperlink ref="A15" location="I1_111" display="I1_111" xr:uid="{00000000-0004-0000-0500-000007000000}"/>
    <hyperlink ref="A16" location="I1_112" display="I1_112" xr:uid="{00000000-0004-0000-0500-000008000000}"/>
    <hyperlink ref="A18" location="I1_114" display="I1_114" xr:uid="{00000000-0004-0000-0500-000009000000}"/>
    <hyperlink ref="A19" location="I1_115" display="I1_115" xr:uid="{00000000-0004-0000-0500-00000A000000}"/>
    <hyperlink ref="A21" location="I1_610" display="I1_610" xr:uid="{00000000-0004-0000-0500-00000B000000}"/>
    <hyperlink ref="A22" location="I1_151" display="I1_151" xr:uid="{00000000-0004-0000-0500-00000C000000}"/>
    <hyperlink ref="A23" location="I1_612" display="I1_612" xr:uid="{00000000-0004-0000-0500-00000D000000}"/>
    <hyperlink ref="A24" location="I1_613" display="I1_613" xr:uid="{00000000-0004-0000-0500-00000E000000}"/>
    <hyperlink ref="A25" location="I1_157" display="I1_157" xr:uid="{00000000-0004-0000-0500-00000F000000}"/>
    <hyperlink ref="A26" location="I1_158" display="I1_158" xr:uid="{00000000-0004-0000-0500-000010000000}"/>
    <hyperlink ref="A27" location="I1_615" display="I1_615" xr:uid="{00000000-0004-0000-0500-000011000000}"/>
    <hyperlink ref="A28" location="I1_161" display="I1_161" xr:uid="{00000000-0004-0000-0500-000012000000}"/>
    <hyperlink ref="A29" location="I1_191" display="I1_191" xr:uid="{00000000-0004-0000-0500-000013000000}"/>
    <hyperlink ref="A30" location="I1_531" display="I1_531" xr:uid="{00000000-0004-0000-0500-000014000000}"/>
    <hyperlink ref="A32" location="I1_620" display="I1_620" xr:uid="{00000000-0004-0000-0500-000015000000}"/>
    <hyperlink ref="A34" location="I1_621" display="I1_621" xr:uid="{00000000-0004-0000-0500-000016000000}"/>
    <hyperlink ref="A35" location="I1_622" display="I1_622" xr:uid="{00000000-0004-0000-0500-000017000000}"/>
    <hyperlink ref="A37" location="I1_624" display="I1_624" xr:uid="{00000000-0004-0000-0500-000018000000}"/>
    <hyperlink ref="A38" location="I1_625" display="I1_625" xr:uid="{00000000-0004-0000-0500-000019000000}"/>
    <hyperlink ref="A39" location="I1_626" display="I1_626" xr:uid="{00000000-0004-0000-0500-00001A000000}"/>
    <hyperlink ref="A40" location="I1_627" display="I1_627" xr:uid="{00000000-0004-0000-0500-00001B000000}"/>
    <hyperlink ref="A42" location="I1_590" display="I1_590" xr:uid="{00000000-0004-0000-0500-00001C000000}"/>
    <hyperlink ref="N3" location="I1_650" display="I1_650" xr:uid="{00000000-0004-0000-0500-00001D000000}"/>
    <hyperlink ref="N4" location="I1_553" display="I1_553" xr:uid="{00000000-0004-0000-0500-00001E000000}"/>
    <hyperlink ref="N5" location="I1_651" display="I1_651" xr:uid="{00000000-0004-0000-0500-00001F000000}"/>
    <hyperlink ref="N6" location="I1_652" display="I1_652" xr:uid="{00000000-0004-0000-0500-000020000000}"/>
    <hyperlink ref="N8" location="I1_653" display="I1_653" xr:uid="{00000000-0004-0000-0500-000021000000}"/>
    <hyperlink ref="N42" location="I1_690" display="I1_690" xr:uid="{00000000-0004-0000-0500-000022000000}"/>
    <hyperlink ref="N23" location="I1_587" display="I1_587" xr:uid="{00000000-0004-0000-0500-000023000000}"/>
    <hyperlink ref="N24" location="I1_588" display="I1_588" xr:uid="{00000000-0004-0000-0500-000024000000}"/>
    <hyperlink ref="N25" location="I1_589" display="I1_589" xr:uid="{00000000-0004-0000-0500-000025000000}"/>
    <hyperlink ref="N27" location="I1_591" display="I1_591" xr:uid="{00000000-0004-0000-0500-000026000000}"/>
    <hyperlink ref="A36" location="I1_623" display="I1_623" xr:uid="{00000000-0004-0000-0500-000027000000}"/>
  </hyperlinks>
  <pageMargins left="0.70866141732283472" right="0.70866141732283472" top="0.78740157480314965" bottom="0.78740157480314965" header="0.31496062992125984" footer="0.31496062992125984"/>
  <pageSetup paperSize="9" orientation="portrait" r:id="rId1"/>
  <headerFooter>
    <oddHeader>&amp;R&amp;G</oddHeader>
    <oddFooter>&amp;L&amp;G&amp;C&amp;10Seite &amp;P/&amp;N&amp;R&amp;10&amp;D</oddFooter>
  </headerFooter>
  <colBreaks count="1" manualBreakCount="1">
    <brk id="7" max="1048575" man="1"/>
  </colBreaks>
  <drawing r:id="rId2"/>
  <legacyDrawingHF r:id="rId3"/>
  <extLst>
    <ext xmlns:x14="http://schemas.microsoft.com/office/spreadsheetml/2009/9/main" uri="{CCE6A557-97BC-4b89-ADB6-D9C93CAAB3DF}">
      <x14:dataValidations xmlns:xm="http://schemas.microsoft.com/office/excel/2006/main" count="1">
        <x14:dataValidation type="whole" allowBlank="1" showInputMessage="1" showErrorMessage="1" errorTitle="Jahr ausserhalb der Betrachtung" error="Es können nur Jahre innerhalb des Betrachtungszeitraumes von 25 Jahren ab Projektstart ausgewertet werden." promptTitle="Auswertungsjahr" prompt="Jahr innerhalb des Betrachtungsraumes eingeben" xr:uid="{00000000-0002-0000-0500-000000000000}">
          <x14:formula1>
            <xm:f>B1_Calculs!B36</xm:f>
          </x14:formula1>
          <x14:formula2>
            <xm:f>B1_Calculs!B60</xm:f>
          </x14:formula2>
          <xm:sqref>E32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1048576"/>
  <sheetViews>
    <sheetView zoomScaleNormal="100" workbookViewId="0">
      <selection activeCell="C9" sqref="C9"/>
    </sheetView>
  </sheetViews>
  <sheetFormatPr baseColWidth="10" defaultColWidth="0" defaultRowHeight="12.75" zeroHeight="1" x14ac:dyDescent="0.2"/>
  <cols>
    <col min="1" max="1" width="4.42578125" style="11" customWidth="1"/>
    <col min="2" max="2" width="43.5703125" style="11" customWidth="1"/>
    <col min="3" max="3" width="41.28515625" style="11" customWidth="1"/>
    <col min="4" max="4" width="16.85546875" style="11" customWidth="1"/>
    <col min="5" max="6" width="15.42578125" style="11" customWidth="1"/>
    <col min="7" max="22" width="10.85546875" style="11" customWidth="1"/>
    <col min="23" max="23" width="0" style="11" hidden="1" customWidth="1"/>
    <col min="24" max="16384" width="10.85546875" style="11" hidden="1"/>
  </cols>
  <sheetData>
    <row r="1" spans="1:6" ht="18" x14ac:dyDescent="0.25">
      <c r="A1" s="3">
        <v>900</v>
      </c>
      <c r="B1" s="259" t="s">
        <v>527</v>
      </c>
    </row>
    <row r="2" spans="1:6" x14ac:dyDescent="0.2"/>
    <row r="3" spans="1:6" x14ac:dyDescent="0.2">
      <c r="A3" s="3">
        <v>104</v>
      </c>
      <c r="C3" s="12" t="s">
        <v>528</v>
      </c>
    </row>
    <row r="4" spans="1:6" x14ac:dyDescent="0.2"/>
    <row r="5" spans="1:6" x14ac:dyDescent="0.2">
      <c r="A5" s="3">
        <v>910</v>
      </c>
      <c r="B5" s="13" t="s">
        <v>529</v>
      </c>
      <c r="C5" s="14"/>
      <c r="D5" s="14"/>
      <c r="E5" s="14"/>
      <c r="F5" s="14"/>
    </row>
    <row r="6" spans="1:6" x14ac:dyDescent="0.2">
      <c r="A6" s="3">
        <v>911</v>
      </c>
      <c r="B6" s="15"/>
      <c r="C6" s="16" t="s">
        <v>530</v>
      </c>
      <c r="D6" s="16"/>
      <c r="E6" s="16"/>
      <c r="F6" s="16"/>
    </row>
    <row r="7" spans="1:6" ht="15" customHeight="1" x14ac:dyDescent="0.2">
      <c r="B7" s="17"/>
      <c r="C7" s="285" t="s">
        <v>445</v>
      </c>
      <c r="D7" s="287" t="s">
        <v>531</v>
      </c>
      <c r="E7" s="287" t="s">
        <v>532</v>
      </c>
      <c r="F7" s="287" t="s">
        <v>533</v>
      </c>
    </row>
    <row r="8" spans="1:6" ht="28.5" customHeight="1" x14ac:dyDescent="0.2">
      <c r="B8" s="17"/>
      <c r="C8" s="286"/>
      <c r="D8" s="288"/>
      <c r="E8" s="288"/>
      <c r="F8" s="288"/>
    </row>
    <row r="9" spans="1:6" x14ac:dyDescent="0.2">
      <c r="B9" s="17"/>
      <c r="C9" s="18" t="str">
        <f>E3_Consommateurs!$D15</f>
        <v>Part du réseau 1</v>
      </c>
      <c r="D9" s="18"/>
      <c r="E9" s="19">
        <f>E3_Consommateurs!$D19</f>
        <v>150</v>
      </c>
      <c r="F9" s="19">
        <f>E3_Consommateurs!$D18</f>
        <v>250</v>
      </c>
    </row>
    <row r="10" spans="1:6" x14ac:dyDescent="0.2">
      <c r="B10" s="17"/>
      <c r="C10" s="18" t="str">
        <f>E3_Consommateurs!$E15</f>
        <v>Client 2</v>
      </c>
      <c r="D10" s="18"/>
      <c r="E10" s="19">
        <f>E3_Consommateurs!$E19</f>
        <v>25</v>
      </c>
      <c r="F10" s="19">
        <f>E3_Consommateurs!$E18</f>
        <v>40</v>
      </c>
    </row>
    <row r="11" spans="1:6" x14ac:dyDescent="0.2">
      <c r="B11" s="17"/>
      <c r="C11" s="18" t="str">
        <f>E3_Consommateurs!$F15</f>
        <v>Client 3</v>
      </c>
      <c r="D11" s="18"/>
      <c r="E11" s="19">
        <f>E3_Consommateurs!$F19</f>
        <v>20</v>
      </c>
      <c r="F11" s="19">
        <f>E3_Consommateurs!$F18</f>
        <v>30</v>
      </c>
    </row>
    <row r="12" spans="1:6" x14ac:dyDescent="0.2">
      <c r="B12" s="17"/>
      <c r="C12" s="18" t="str">
        <f>E3_Consommateurs!$G15</f>
        <v>Client 4</v>
      </c>
      <c r="D12" s="18"/>
      <c r="E12" s="19">
        <f>E3_Consommateurs!$G19</f>
        <v>15</v>
      </c>
      <c r="F12" s="19">
        <f>E3_Consommateurs!$G18</f>
        <v>20</v>
      </c>
    </row>
    <row r="13" spans="1:6" x14ac:dyDescent="0.2">
      <c r="B13" s="17"/>
      <c r="C13" s="18" t="str">
        <f>E3_Consommateurs!$H15</f>
        <v>Client 5</v>
      </c>
      <c r="D13" s="18"/>
      <c r="E13" s="19">
        <f>E3_Consommateurs!$H19</f>
        <v>20</v>
      </c>
      <c r="F13" s="19">
        <f>E3_Consommateurs!$H18</f>
        <v>30</v>
      </c>
    </row>
    <row r="14" spans="1:6" x14ac:dyDescent="0.2">
      <c r="B14" s="17"/>
      <c r="C14" s="18" t="str">
        <f>E3_Consommateurs!$I15</f>
        <v>Client 6</v>
      </c>
      <c r="D14" s="18"/>
      <c r="E14" s="19">
        <f>E3_Consommateurs!$I19</f>
        <v>1000</v>
      </c>
      <c r="F14" s="19">
        <f>E3_Consommateurs!$I18</f>
        <v>1500</v>
      </c>
    </row>
    <row r="15" spans="1:6" x14ac:dyDescent="0.2">
      <c r="B15" s="17"/>
      <c r="C15" s="18">
        <f>E3_Consommateurs!$J15</f>
        <v>0</v>
      </c>
      <c r="D15" s="18"/>
      <c r="E15" s="19">
        <f>E3_Consommateurs!$J19</f>
        <v>0</v>
      </c>
      <c r="F15" s="19">
        <f>E3_Consommateurs!$J18</f>
        <v>0</v>
      </c>
    </row>
    <row r="16" spans="1:6" x14ac:dyDescent="0.2">
      <c r="B16" s="17"/>
      <c r="C16" s="18">
        <f>E3_Consommateurs!$K15</f>
        <v>0</v>
      </c>
      <c r="D16" s="18"/>
      <c r="E16" s="19">
        <f>E3_Consommateurs!$K19</f>
        <v>0</v>
      </c>
      <c r="F16" s="19">
        <f>E3_Consommateurs!$K18</f>
        <v>0</v>
      </c>
    </row>
    <row r="17" spans="1:6" x14ac:dyDescent="0.2">
      <c r="B17" s="17"/>
      <c r="C17" s="18">
        <f>E3_Consommateurs!$L15</f>
        <v>0</v>
      </c>
      <c r="D17" s="18"/>
      <c r="E17" s="19">
        <f>E3_Consommateurs!$L19</f>
        <v>0</v>
      </c>
      <c r="F17" s="19">
        <f>E3_Consommateurs!$L18</f>
        <v>0</v>
      </c>
    </row>
    <row r="18" spans="1:6" x14ac:dyDescent="0.2">
      <c r="B18" s="17"/>
      <c r="C18" s="18">
        <f>E3_Consommateurs!$M15</f>
        <v>0</v>
      </c>
      <c r="D18" s="18"/>
      <c r="E18" s="19">
        <f>E3_Consommateurs!$M19</f>
        <v>0</v>
      </c>
      <c r="F18" s="19">
        <f>E3_Consommateurs!$M18</f>
        <v>0</v>
      </c>
    </row>
    <row r="19" spans="1:6" x14ac:dyDescent="0.2">
      <c r="B19" s="17"/>
      <c r="C19" s="18">
        <f>E3_Consommateurs!$N15</f>
        <v>0</v>
      </c>
      <c r="D19" s="18"/>
      <c r="E19" s="19">
        <f>E3_Consommateurs!$N19</f>
        <v>0</v>
      </c>
      <c r="F19" s="19">
        <f>E3_Consommateurs!$N18</f>
        <v>0</v>
      </c>
    </row>
    <row r="20" spans="1:6" x14ac:dyDescent="0.2">
      <c r="B20" s="17"/>
      <c r="C20" s="18">
        <f>E3_Consommateurs!$O15</f>
        <v>0</v>
      </c>
      <c r="D20" s="18"/>
      <c r="E20" s="19">
        <f>E3_Consommateurs!$O19</f>
        <v>0</v>
      </c>
      <c r="F20" s="19">
        <f>E3_Consommateurs!$O18</f>
        <v>0</v>
      </c>
    </row>
    <row r="21" spans="1:6" x14ac:dyDescent="0.2">
      <c r="B21" s="17"/>
      <c r="C21" s="18">
        <f>E3_Consommateurs!$P15</f>
        <v>0</v>
      </c>
      <c r="D21" s="18"/>
      <c r="E21" s="19">
        <f>E3_Consommateurs!$P19</f>
        <v>0</v>
      </c>
      <c r="F21" s="19">
        <f>E3_Consommateurs!$P18</f>
        <v>0</v>
      </c>
    </row>
    <row r="22" spans="1:6" x14ac:dyDescent="0.2">
      <c r="B22" s="17"/>
      <c r="C22" s="18">
        <f>E3_Consommateurs!$Q15</f>
        <v>0</v>
      </c>
      <c r="D22" s="18"/>
      <c r="E22" s="19">
        <f>E3_Consommateurs!$Q19</f>
        <v>0</v>
      </c>
      <c r="F22" s="19">
        <f>E3_Consommateurs!$Q18</f>
        <v>0</v>
      </c>
    </row>
    <row r="23" spans="1:6" x14ac:dyDescent="0.2">
      <c r="B23" s="17"/>
      <c r="C23" s="18">
        <f>E3_Consommateurs!$R15</f>
        <v>0</v>
      </c>
      <c r="D23" s="18"/>
      <c r="E23" s="19">
        <f>E3_Consommateurs!$R19</f>
        <v>0</v>
      </c>
      <c r="F23" s="19">
        <f>E3_Consommateurs!$R18</f>
        <v>0</v>
      </c>
    </row>
    <row r="24" spans="1:6" ht="12.75" customHeight="1" x14ac:dyDescent="0.2">
      <c r="C24" s="16" t="s">
        <v>530</v>
      </c>
      <c r="D24" s="20"/>
      <c r="E24" s="20"/>
    </row>
    <row r="25" spans="1:6" ht="51" x14ac:dyDescent="0.2">
      <c r="A25" s="3">
        <v>912</v>
      </c>
      <c r="C25" s="21"/>
      <c r="D25" s="22" t="s">
        <v>449</v>
      </c>
      <c r="E25" s="23" t="s">
        <v>534</v>
      </c>
    </row>
    <row r="26" spans="1:6" x14ac:dyDescent="0.2">
      <c r="C26" s="22" t="str">
        <f>C9</f>
        <v>Part du réseau 1</v>
      </c>
      <c r="D26" s="18">
        <f>E3_Consommateurs!$D21</f>
        <v>2024</v>
      </c>
      <c r="E26" s="19">
        <f>E9</f>
        <v>150</v>
      </c>
    </row>
    <row r="27" spans="1:6" x14ac:dyDescent="0.2">
      <c r="C27" s="22" t="str">
        <f t="shared" ref="C27:E40" si="0">C10</f>
        <v>Client 2</v>
      </c>
      <c r="D27" s="18">
        <f>E3_Consommateurs!$E21</f>
        <v>2026</v>
      </c>
      <c r="E27" s="19">
        <f t="shared" si="0"/>
        <v>25</v>
      </c>
    </row>
    <row r="28" spans="1:6" x14ac:dyDescent="0.2">
      <c r="C28" s="22" t="str">
        <f t="shared" si="0"/>
        <v>Client 3</v>
      </c>
      <c r="D28" s="18">
        <f>E3_Consommateurs!$F21</f>
        <v>2026</v>
      </c>
      <c r="E28" s="19">
        <f t="shared" si="0"/>
        <v>20</v>
      </c>
    </row>
    <row r="29" spans="1:6" x14ac:dyDescent="0.2">
      <c r="C29" s="22" t="str">
        <f t="shared" si="0"/>
        <v>Client 4</v>
      </c>
      <c r="D29" s="18">
        <f>E3_Consommateurs!$G21</f>
        <v>2027</v>
      </c>
      <c r="E29" s="19">
        <f t="shared" si="0"/>
        <v>15</v>
      </c>
    </row>
    <row r="30" spans="1:6" x14ac:dyDescent="0.2">
      <c r="C30" s="22" t="str">
        <f t="shared" si="0"/>
        <v>Client 5</v>
      </c>
      <c r="D30" s="18">
        <f>E3_Consommateurs!$H21</f>
        <v>2025</v>
      </c>
      <c r="E30" s="19">
        <f t="shared" si="0"/>
        <v>20</v>
      </c>
    </row>
    <row r="31" spans="1:6" x14ac:dyDescent="0.2">
      <c r="C31" s="22" t="str">
        <f t="shared" si="0"/>
        <v>Client 6</v>
      </c>
      <c r="D31" s="18">
        <f>E3_Consommateurs!$I21</f>
        <v>2025</v>
      </c>
      <c r="E31" s="19">
        <f t="shared" si="0"/>
        <v>1000</v>
      </c>
    </row>
    <row r="32" spans="1:6" x14ac:dyDescent="0.2">
      <c r="C32" s="22">
        <f t="shared" si="0"/>
        <v>0</v>
      </c>
      <c r="D32" s="18">
        <f>E3_Consommateurs!$J21</f>
        <v>0</v>
      </c>
      <c r="E32" s="19">
        <f t="shared" si="0"/>
        <v>0</v>
      </c>
    </row>
    <row r="33" spans="1:19" x14ac:dyDescent="0.2">
      <c r="C33" s="22">
        <f t="shared" si="0"/>
        <v>0</v>
      </c>
      <c r="D33" s="18">
        <f>E3_Consommateurs!$K21</f>
        <v>0</v>
      </c>
      <c r="E33" s="19">
        <f t="shared" si="0"/>
        <v>0</v>
      </c>
    </row>
    <row r="34" spans="1:19" x14ac:dyDescent="0.2">
      <c r="C34" s="22">
        <f t="shared" si="0"/>
        <v>0</v>
      </c>
      <c r="D34" s="18">
        <f>E3_Consommateurs!$L21</f>
        <v>0</v>
      </c>
      <c r="E34" s="19">
        <f t="shared" si="0"/>
        <v>0</v>
      </c>
    </row>
    <row r="35" spans="1:19" x14ac:dyDescent="0.2">
      <c r="C35" s="22">
        <f t="shared" si="0"/>
        <v>0</v>
      </c>
      <c r="D35" s="18">
        <f>E3_Consommateurs!$M21</f>
        <v>0</v>
      </c>
      <c r="E35" s="19">
        <f t="shared" si="0"/>
        <v>0</v>
      </c>
    </row>
    <row r="36" spans="1:19" x14ac:dyDescent="0.2">
      <c r="C36" s="22">
        <f t="shared" si="0"/>
        <v>0</v>
      </c>
      <c r="D36" s="18">
        <f>E3_Consommateurs!$N21</f>
        <v>0</v>
      </c>
      <c r="E36" s="19">
        <f t="shared" si="0"/>
        <v>0</v>
      </c>
    </row>
    <row r="37" spans="1:19" x14ac:dyDescent="0.2">
      <c r="C37" s="22">
        <f t="shared" si="0"/>
        <v>0</v>
      </c>
      <c r="D37" s="18">
        <f>E3_Consommateurs!$O21</f>
        <v>0</v>
      </c>
      <c r="E37" s="19">
        <f t="shared" si="0"/>
        <v>0</v>
      </c>
    </row>
    <row r="38" spans="1:19" x14ac:dyDescent="0.2">
      <c r="C38" s="22">
        <f t="shared" si="0"/>
        <v>0</v>
      </c>
      <c r="D38" s="18">
        <f>E3_Consommateurs!$P21</f>
        <v>0</v>
      </c>
      <c r="E38" s="19">
        <f t="shared" si="0"/>
        <v>0</v>
      </c>
    </row>
    <row r="39" spans="1:19" x14ac:dyDescent="0.2">
      <c r="C39" s="22">
        <f t="shared" si="0"/>
        <v>0</v>
      </c>
      <c r="D39" s="18">
        <f>E3_Consommateurs!$Q21</f>
        <v>0</v>
      </c>
      <c r="E39" s="19">
        <f t="shared" si="0"/>
        <v>0</v>
      </c>
    </row>
    <row r="40" spans="1:19" x14ac:dyDescent="0.2">
      <c r="C40" s="22">
        <f t="shared" si="0"/>
        <v>0</v>
      </c>
      <c r="D40" s="18">
        <f>E3_Consommateurs!$R21</f>
        <v>0</v>
      </c>
      <c r="E40" s="19">
        <f t="shared" si="0"/>
        <v>0</v>
      </c>
    </row>
    <row r="41" spans="1:19" x14ac:dyDescent="0.2"/>
    <row r="42" spans="1:19" x14ac:dyDescent="0.2">
      <c r="A42" s="3">
        <v>920</v>
      </c>
      <c r="B42" s="14" t="s">
        <v>535</v>
      </c>
      <c r="C42" s="14"/>
      <c r="D42" s="24">
        <f>'E1_Données de projet'!D22</f>
        <v>2024</v>
      </c>
      <c r="E42" s="24">
        <f>D42+1</f>
        <v>2025</v>
      </c>
      <c r="F42" s="14">
        <f t="shared" ref="F42:S42" si="1">E42+1</f>
        <v>2026</v>
      </c>
      <c r="G42" s="14">
        <f t="shared" si="1"/>
        <v>2027</v>
      </c>
      <c r="H42" s="14">
        <f t="shared" si="1"/>
        <v>2028</v>
      </c>
      <c r="I42" s="14">
        <f t="shared" si="1"/>
        <v>2029</v>
      </c>
      <c r="J42" s="14">
        <f t="shared" si="1"/>
        <v>2030</v>
      </c>
      <c r="K42" s="14">
        <f t="shared" si="1"/>
        <v>2031</v>
      </c>
      <c r="L42" s="14">
        <f t="shared" si="1"/>
        <v>2032</v>
      </c>
      <c r="M42" s="14">
        <f t="shared" si="1"/>
        <v>2033</v>
      </c>
      <c r="N42" s="14">
        <f t="shared" si="1"/>
        <v>2034</v>
      </c>
      <c r="O42" s="14">
        <f t="shared" si="1"/>
        <v>2035</v>
      </c>
      <c r="P42" s="14">
        <f t="shared" si="1"/>
        <v>2036</v>
      </c>
      <c r="Q42" s="14">
        <f t="shared" si="1"/>
        <v>2037</v>
      </c>
      <c r="R42" s="14">
        <f t="shared" si="1"/>
        <v>2038</v>
      </c>
      <c r="S42" s="14">
        <f t="shared" si="1"/>
        <v>2039</v>
      </c>
    </row>
    <row r="43" spans="1:19" x14ac:dyDescent="0.2">
      <c r="B43" s="16" t="s">
        <v>536</v>
      </c>
      <c r="C43" s="16"/>
      <c r="D43" s="16"/>
      <c r="E43" s="16"/>
      <c r="F43" s="16"/>
      <c r="G43" s="16"/>
      <c r="H43" s="16"/>
      <c r="I43" s="16"/>
      <c r="J43" s="16"/>
      <c r="K43" s="16"/>
      <c r="L43" s="16"/>
      <c r="M43" s="16"/>
      <c r="N43" s="16"/>
      <c r="O43" s="16"/>
      <c r="P43" s="16"/>
      <c r="Q43" s="16"/>
      <c r="R43" s="16"/>
      <c r="S43" s="16"/>
    </row>
    <row r="44" spans="1:19" x14ac:dyDescent="0.2">
      <c r="A44" s="3">
        <v>921</v>
      </c>
      <c r="B44" s="25" t="s">
        <v>537</v>
      </c>
      <c r="C44" s="26"/>
      <c r="D44" s="26"/>
      <c r="E44" s="26"/>
      <c r="F44" s="26"/>
      <c r="G44" s="26"/>
      <c r="H44" s="26"/>
      <c r="I44" s="26"/>
      <c r="J44" s="26"/>
      <c r="K44" s="26"/>
      <c r="L44" s="26"/>
      <c r="M44" s="26"/>
      <c r="N44" s="26"/>
      <c r="O44" s="26"/>
      <c r="P44" s="26"/>
      <c r="Q44" s="26"/>
      <c r="R44" s="26"/>
      <c r="S44" s="26"/>
    </row>
    <row r="45" spans="1:19" x14ac:dyDescent="0.2">
      <c r="B45" s="27" t="str">
        <f>C9</f>
        <v>Part du réseau 1</v>
      </c>
      <c r="C45" s="27" t="s">
        <v>538</v>
      </c>
      <c r="D45" s="19">
        <f>E3_Consommateurs!$D18*(E3_Consommateurs!$D21&lt;D$42)+E3_Consommateurs!$D18*(E3_Consommateurs!$D21=D$42)*E3_Consommateurs!$D20</f>
        <v>125</v>
      </c>
      <c r="E45" s="19">
        <f>E3_Consommateurs!$D18*(E3_Consommateurs!$D21&lt;E$42)+E3_Consommateurs!$D18*(E3_Consommateurs!$D21=E$42)*E3_Consommateurs!$D20</f>
        <v>250</v>
      </c>
      <c r="F45" s="19">
        <f>E3_Consommateurs!$D18*(E3_Consommateurs!$D21&lt;F$42)+E3_Consommateurs!$D18*(E3_Consommateurs!$D21=F$42)*E3_Consommateurs!$D20</f>
        <v>250</v>
      </c>
      <c r="G45" s="19">
        <f>E3_Consommateurs!$D18*(E3_Consommateurs!$D21&lt;G$42)+E3_Consommateurs!$D18*(E3_Consommateurs!$D21=G$42)*E3_Consommateurs!$D20</f>
        <v>250</v>
      </c>
      <c r="H45" s="19">
        <f>E3_Consommateurs!$D18*(E3_Consommateurs!$D21&lt;H$42)+E3_Consommateurs!$D18*(E3_Consommateurs!$D21=H$42)*E3_Consommateurs!$D20</f>
        <v>250</v>
      </c>
      <c r="I45" s="19">
        <f>E3_Consommateurs!$D18*(E3_Consommateurs!$D21&lt;I$42)+E3_Consommateurs!$D18*(E3_Consommateurs!$D21=I$42)*E3_Consommateurs!$D20</f>
        <v>250</v>
      </c>
      <c r="J45" s="19">
        <f>E3_Consommateurs!$D18*(E3_Consommateurs!$D21&lt;J$42)+E3_Consommateurs!$D18*(E3_Consommateurs!$D21=J$42)*E3_Consommateurs!$D20</f>
        <v>250</v>
      </c>
      <c r="K45" s="19">
        <f>E3_Consommateurs!$D18*(E3_Consommateurs!$D21&lt;K$42)+E3_Consommateurs!$D18*(E3_Consommateurs!$D21=K$42)*E3_Consommateurs!$D20</f>
        <v>250</v>
      </c>
      <c r="L45" s="19">
        <f>E3_Consommateurs!$D18*(E3_Consommateurs!$D21&lt;L$42)+E3_Consommateurs!$D18*(E3_Consommateurs!$D21=L$42)*E3_Consommateurs!$D20</f>
        <v>250</v>
      </c>
      <c r="M45" s="19">
        <f>E3_Consommateurs!$D18*(E3_Consommateurs!$D21&lt;M$42)+E3_Consommateurs!$D18*(E3_Consommateurs!$D21=M$42)*E3_Consommateurs!$D20</f>
        <v>250</v>
      </c>
      <c r="N45" s="19">
        <f>E3_Consommateurs!$D18*(E3_Consommateurs!$D21&lt;N$42)+E3_Consommateurs!$D18*(E3_Consommateurs!$D21=N$42)*E3_Consommateurs!$D20</f>
        <v>250</v>
      </c>
      <c r="O45" s="19">
        <f>E3_Consommateurs!$D18*(E3_Consommateurs!$D21&lt;O$42)+E3_Consommateurs!$D18*(E3_Consommateurs!$D21=O$42)*E3_Consommateurs!$D20</f>
        <v>250</v>
      </c>
      <c r="P45" s="19">
        <f>E3_Consommateurs!$D18*(E3_Consommateurs!$D21&lt;P$42)+E3_Consommateurs!$D18*(E3_Consommateurs!$D21=P$42)*E3_Consommateurs!$D20</f>
        <v>250</v>
      </c>
      <c r="Q45" s="19">
        <f>E3_Consommateurs!$D18*(E3_Consommateurs!$D21&lt;Q$42)+E3_Consommateurs!$D18*(E3_Consommateurs!$D21=Q$42)*E3_Consommateurs!$D20</f>
        <v>250</v>
      </c>
      <c r="R45" s="19">
        <f>E3_Consommateurs!$D18*(E3_Consommateurs!$D21&lt;R$42)+E3_Consommateurs!$D18*(E3_Consommateurs!$D21=R$42)*E3_Consommateurs!$D20</f>
        <v>250</v>
      </c>
      <c r="S45" s="19">
        <f>E3_Consommateurs!$D18*(E3_Consommateurs!$D21&lt;S$42)+E3_Consommateurs!$D18*(E3_Consommateurs!$D21=S$42)*E3_Consommateurs!$D20</f>
        <v>250</v>
      </c>
    </row>
    <row r="46" spans="1:19" x14ac:dyDescent="0.2">
      <c r="B46" s="27" t="str">
        <f t="shared" ref="B46:B59" si="2">C10</f>
        <v>Client 2</v>
      </c>
      <c r="C46" s="27" t="s">
        <v>538</v>
      </c>
      <c r="D46" s="19">
        <f>E3_Consommateurs!$E18*(E3_Consommateurs!$E21&lt;D$42)+E3_Consommateurs!$E18*(E3_Consommateurs!$E21=D$42)*E3_Consommateurs!$E20</f>
        <v>0</v>
      </c>
      <c r="E46" s="19">
        <f>E3_Consommateurs!$E18*(E3_Consommateurs!$E21&lt;E$42)+E3_Consommateurs!$E18*(E3_Consommateurs!$E21=E$42)*E3_Consommateurs!$E20</f>
        <v>0</v>
      </c>
      <c r="F46" s="19">
        <f>E3_Consommateurs!$E18*(E3_Consommateurs!$E21&lt;F$42)+E3_Consommateurs!$E18*(E3_Consommateurs!$E21=F$42)*E3_Consommateurs!$E20</f>
        <v>20</v>
      </c>
      <c r="G46" s="19">
        <f>E3_Consommateurs!$E18*(E3_Consommateurs!$E21&lt;G$42)+E3_Consommateurs!$E18*(E3_Consommateurs!$E21=G$42)*E3_Consommateurs!$E20</f>
        <v>40</v>
      </c>
      <c r="H46" s="19">
        <f>E3_Consommateurs!$E18*(E3_Consommateurs!$E21&lt;H$42)+E3_Consommateurs!$E18*(E3_Consommateurs!$E21=H$42)*E3_Consommateurs!$E20</f>
        <v>40</v>
      </c>
      <c r="I46" s="19">
        <f>E3_Consommateurs!$E18*(E3_Consommateurs!$E21&lt;I$42)+E3_Consommateurs!$E18*(E3_Consommateurs!$E21=I$42)*E3_Consommateurs!$E20</f>
        <v>40</v>
      </c>
      <c r="J46" s="19">
        <f>E3_Consommateurs!$E18*(E3_Consommateurs!$E21&lt;J$42)+E3_Consommateurs!$E18*(E3_Consommateurs!$E21=J$42)*E3_Consommateurs!$E20</f>
        <v>40</v>
      </c>
      <c r="K46" s="19">
        <f>E3_Consommateurs!$E18*(E3_Consommateurs!$E21&lt;K$42)+E3_Consommateurs!$E18*(E3_Consommateurs!$E21=K$42)*E3_Consommateurs!$E20</f>
        <v>40</v>
      </c>
      <c r="L46" s="19">
        <f>E3_Consommateurs!$E18*(E3_Consommateurs!$E21&lt;L$42)+E3_Consommateurs!$E18*(E3_Consommateurs!$E21=L$42)*E3_Consommateurs!$E20</f>
        <v>40</v>
      </c>
      <c r="M46" s="19">
        <f>E3_Consommateurs!$E18*(E3_Consommateurs!$E21&lt;M$42)+E3_Consommateurs!$E18*(E3_Consommateurs!$E21=M$42)*E3_Consommateurs!$E20</f>
        <v>40</v>
      </c>
      <c r="N46" s="19">
        <f>E3_Consommateurs!$E18*(E3_Consommateurs!$E21&lt;N$42)+E3_Consommateurs!$E18*(E3_Consommateurs!$E21=N$42)*E3_Consommateurs!$E20</f>
        <v>40</v>
      </c>
      <c r="O46" s="19">
        <f>E3_Consommateurs!$E18*(E3_Consommateurs!$E21&lt;O$42)+E3_Consommateurs!$E18*(E3_Consommateurs!$E21=O$42)*E3_Consommateurs!$E20</f>
        <v>40</v>
      </c>
      <c r="P46" s="19">
        <f>E3_Consommateurs!$E18*(E3_Consommateurs!$E21&lt;P$42)+E3_Consommateurs!$E18*(E3_Consommateurs!$E21=P$42)*E3_Consommateurs!$E20</f>
        <v>40</v>
      </c>
      <c r="Q46" s="19">
        <f>E3_Consommateurs!$E18*(E3_Consommateurs!$E21&lt;Q$42)+E3_Consommateurs!$E18*(E3_Consommateurs!$E21=Q$42)*E3_Consommateurs!$E20</f>
        <v>40</v>
      </c>
      <c r="R46" s="19">
        <f>E3_Consommateurs!$E18*(E3_Consommateurs!$E21&lt;R$42)+E3_Consommateurs!$E18*(E3_Consommateurs!$E21=R$42)*E3_Consommateurs!$E20</f>
        <v>40</v>
      </c>
      <c r="S46" s="19">
        <f>E3_Consommateurs!$E18*(E3_Consommateurs!$E21&lt;S$42)+E3_Consommateurs!$E18*(E3_Consommateurs!$E21=S$42)*E3_Consommateurs!$E20</f>
        <v>40</v>
      </c>
    </row>
    <row r="47" spans="1:19" x14ac:dyDescent="0.2">
      <c r="B47" s="27" t="str">
        <f t="shared" si="2"/>
        <v>Client 3</v>
      </c>
      <c r="C47" s="27" t="s">
        <v>538</v>
      </c>
      <c r="D47" s="19">
        <f>E3_Consommateurs!$F18*(E3_Consommateurs!$F21&lt;D$42)+E3_Consommateurs!$F18*(E3_Consommateurs!$F21=D$42)*E3_Consommateurs!$F20</f>
        <v>0</v>
      </c>
      <c r="E47" s="19">
        <f>E3_Consommateurs!$F18*(E3_Consommateurs!$F21&lt;E$42)+E3_Consommateurs!$F18*(E3_Consommateurs!$F21=E$42)*E3_Consommateurs!$F20</f>
        <v>0</v>
      </c>
      <c r="F47" s="19">
        <f>E3_Consommateurs!$F18*(E3_Consommateurs!$F21&lt;F$42)+E3_Consommateurs!$F18*(E3_Consommateurs!$F21=F$42)*E3_Consommateurs!$F20</f>
        <v>15</v>
      </c>
      <c r="G47" s="19">
        <f>E3_Consommateurs!$F18*(E3_Consommateurs!$F21&lt;G$42)+E3_Consommateurs!$F18*(E3_Consommateurs!$F21=G$42)*E3_Consommateurs!$F20</f>
        <v>30</v>
      </c>
      <c r="H47" s="19">
        <f>E3_Consommateurs!$F18*(E3_Consommateurs!$F21&lt;H$42)+E3_Consommateurs!$F18*(E3_Consommateurs!$F21=H$42)*E3_Consommateurs!$F20</f>
        <v>30</v>
      </c>
      <c r="I47" s="19">
        <f>E3_Consommateurs!$F18*(E3_Consommateurs!$F21&lt;I$42)+E3_Consommateurs!$F18*(E3_Consommateurs!$F21=I$42)*E3_Consommateurs!$F20</f>
        <v>30</v>
      </c>
      <c r="J47" s="19">
        <f>E3_Consommateurs!$F18*(E3_Consommateurs!$F21&lt;J$42)+E3_Consommateurs!$F18*(E3_Consommateurs!$F21=J$42)*E3_Consommateurs!$F20</f>
        <v>30</v>
      </c>
      <c r="K47" s="19">
        <f>E3_Consommateurs!$F18*(E3_Consommateurs!$F21&lt;K$42)+E3_Consommateurs!$F18*(E3_Consommateurs!$F21=K$42)*E3_Consommateurs!$F20</f>
        <v>30</v>
      </c>
      <c r="L47" s="19">
        <f>E3_Consommateurs!$F18*(E3_Consommateurs!$F21&lt;L$42)+E3_Consommateurs!$F18*(E3_Consommateurs!$F21=L$42)*E3_Consommateurs!$F20</f>
        <v>30</v>
      </c>
      <c r="M47" s="19">
        <f>E3_Consommateurs!$F18*(E3_Consommateurs!$F21&lt;M$42)+E3_Consommateurs!$F18*(E3_Consommateurs!$F21=M$42)*E3_Consommateurs!$F20</f>
        <v>30</v>
      </c>
      <c r="N47" s="19">
        <f>E3_Consommateurs!$F18*(E3_Consommateurs!$F21&lt;N$42)+E3_Consommateurs!$F18*(E3_Consommateurs!$F21=N$42)*E3_Consommateurs!$F20</f>
        <v>30</v>
      </c>
      <c r="O47" s="19">
        <f>E3_Consommateurs!$F18*(E3_Consommateurs!$F21&lt;O$42)+E3_Consommateurs!$F18*(E3_Consommateurs!$F21=O$42)*E3_Consommateurs!$F20</f>
        <v>30</v>
      </c>
      <c r="P47" s="19">
        <f>E3_Consommateurs!$F18*(E3_Consommateurs!$F21&lt;P$42)+E3_Consommateurs!$F18*(E3_Consommateurs!$F21=P$42)*E3_Consommateurs!$F20</f>
        <v>30</v>
      </c>
      <c r="Q47" s="19">
        <f>E3_Consommateurs!$F18*(E3_Consommateurs!$F21&lt;Q$42)+E3_Consommateurs!$F18*(E3_Consommateurs!$F21=Q$42)*E3_Consommateurs!$F20</f>
        <v>30</v>
      </c>
      <c r="R47" s="19">
        <f>E3_Consommateurs!$F18*(E3_Consommateurs!$F21&lt;R$42)+E3_Consommateurs!$F18*(E3_Consommateurs!$F21=R$42)*E3_Consommateurs!$F20</f>
        <v>30</v>
      </c>
      <c r="S47" s="19">
        <f>E3_Consommateurs!$F18*(E3_Consommateurs!$F21&lt;S$42)+E3_Consommateurs!$F18*(E3_Consommateurs!$F21=S$42)*E3_Consommateurs!$F20</f>
        <v>30</v>
      </c>
    </row>
    <row r="48" spans="1:19" x14ac:dyDescent="0.2">
      <c r="B48" s="27" t="str">
        <f t="shared" si="2"/>
        <v>Client 4</v>
      </c>
      <c r="C48" s="27" t="s">
        <v>538</v>
      </c>
      <c r="D48" s="19">
        <f>E3_Consommateurs!$G18*(E3_Consommateurs!$G21&lt;D$42)+E3_Consommateurs!$G18*(E3_Consommateurs!$G21=D$42)*E3_Consommateurs!$G20</f>
        <v>0</v>
      </c>
      <c r="E48" s="19">
        <f>E3_Consommateurs!$G18*(E3_Consommateurs!$G21&lt;E$42)+E3_Consommateurs!$G18*(E3_Consommateurs!$G21=E$42)*E3_Consommateurs!$G20</f>
        <v>0</v>
      </c>
      <c r="F48" s="19">
        <f>E3_Consommateurs!$G18*(E3_Consommateurs!$G21&lt;F$42)+E3_Consommateurs!$G18*(E3_Consommateurs!$G21=F$42)*E3_Consommateurs!$G20</f>
        <v>0</v>
      </c>
      <c r="G48" s="19">
        <f>E3_Consommateurs!$G18*(E3_Consommateurs!$G21&lt;G$42)+E3_Consommateurs!$G18*(E3_Consommateurs!$G21=G$42)*E3_Consommateurs!$G20</f>
        <v>20</v>
      </c>
      <c r="H48" s="19">
        <f>E3_Consommateurs!$G18*(E3_Consommateurs!$G21&lt;H$42)+E3_Consommateurs!$G18*(E3_Consommateurs!$G21=H$42)*E3_Consommateurs!$G20</f>
        <v>20</v>
      </c>
      <c r="I48" s="19">
        <f>E3_Consommateurs!$G18*(E3_Consommateurs!$G21&lt;I$42)+E3_Consommateurs!$G18*(E3_Consommateurs!$G21=I$42)*E3_Consommateurs!$G20</f>
        <v>20</v>
      </c>
      <c r="J48" s="19">
        <f>E3_Consommateurs!$G18*(E3_Consommateurs!$G21&lt;J$42)+E3_Consommateurs!$G18*(E3_Consommateurs!$G21=J$42)*E3_Consommateurs!$G20</f>
        <v>20</v>
      </c>
      <c r="K48" s="19">
        <f>E3_Consommateurs!$G18*(E3_Consommateurs!$G21&lt;K$42)+E3_Consommateurs!$G18*(E3_Consommateurs!$G21=K$42)*E3_Consommateurs!$G20</f>
        <v>20</v>
      </c>
      <c r="L48" s="19">
        <f>E3_Consommateurs!$G18*(E3_Consommateurs!$G21&lt;L$42)+E3_Consommateurs!$G18*(E3_Consommateurs!$G21=L$42)*E3_Consommateurs!$G20</f>
        <v>20</v>
      </c>
      <c r="M48" s="19">
        <f>E3_Consommateurs!$G18*(E3_Consommateurs!$G21&lt;M$42)+E3_Consommateurs!$G18*(E3_Consommateurs!$G21=M$42)*E3_Consommateurs!$G20</f>
        <v>20</v>
      </c>
      <c r="N48" s="19">
        <f>E3_Consommateurs!$G18*(E3_Consommateurs!$G21&lt;N$42)+E3_Consommateurs!$G18*(E3_Consommateurs!$G21=N$42)*E3_Consommateurs!$G20</f>
        <v>20</v>
      </c>
      <c r="O48" s="19">
        <f>E3_Consommateurs!$G18*(E3_Consommateurs!$G21&lt;O$42)+E3_Consommateurs!$G18*(E3_Consommateurs!$G21=O$42)*E3_Consommateurs!$G20</f>
        <v>20</v>
      </c>
      <c r="P48" s="19">
        <f>E3_Consommateurs!$G18*(E3_Consommateurs!$G21&lt;P$42)+E3_Consommateurs!$G18*(E3_Consommateurs!$G21=P$42)*E3_Consommateurs!$G20</f>
        <v>20</v>
      </c>
      <c r="Q48" s="19">
        <f>E3_Consommateurs!$G18*(E3_Consommateurs!$G21&lt;Q$42)+E3_Consommateurs!$G18*(E3_Consommateurs!$G21=Q$42)*E3_Consommateurs!$G20</f>
        <v>20</v>
      </c>
      <c r="R48" s="19">
        <f>E3_Consommateurs!$G18*(E3_Consommateurs!$G21&lt;R$42)+E3_Consommateurs!$G18*(E3_Consommateurs!$G21=R$42)*E3_Consommateurs!$G20</f>
        <v>20</v>
      </c>
      <c r="S48" s="19">
        <f>E3_Consommateurs!$G18*(E3_Consommateurs!$G21&lt;S$42)+E3_Consommateurs!$G18*(E3_Consommateurs!$G21=S$42)*E3_Consommateurs!$G20</f>
        <v>20</v>
      </c>
    </row>
    <row r="49" spans="1:23" x14ac:dyDescent="0.2">
      <c r="B49" s="27" t="str">
        <f t="shared" si="2"/>
        <v>Client 5</v>
      </c>
      <c r="C49" s="27" t="s">
        <v>538</v>
      </c>
      <c r="D49" s="19">
        <f>E3_Consommateurs!$H18*(E3_Consommateurs!$H21&lt;D$42)+E3_Consommateurs!$H18*(E3_Consommateurs!$H21=D$42)*E3_Consommateurs!$H20</f>
        <v>0</v>
      </c>
      <c r="E49" s="19">
        <f>E3_Consommateurs!$H18*(E3_Consommateurs!$H21&lt;E$42)+E3_Consommateurs!$H18*(E3_Consommateurs!$H21=E$42)*E3_Consommateurs!$H20</f>
        <v>15</v>
      </c>
      <c r="F49" s="19">
        <f>E3_Consommateurs!$H18*(E3_Consommateurs!$H21&lt;F$42)+E3_Consommateurs!$H18*(E3_Consommateurs!$H21=F$42)*E3_Consommateurs!$H20</f>
        <v>30</v>
      </c>
      <c r="G49" s="19">
        <f>E3_Consommateurs!$H18*(E3_Consommateurs!$H21&lt;G$42)+E3_Consommateurs!$H18*(E3_Consommateurs!$H21=G$42)*E3_Consommateurs!$H20</f>
        <v>30</v>
      </c>
      <c r="H49" s="19">
        <f>E3_Consommateurs!$H18*(E3_Consommateurs!$H21&lt;H$42)+E3_Consommateurs!$H18*(E3_Consommateurs!$H21=H$42)*E3_Consommateurs!$H20</f>
        <v>30</v>
      </c>
      <c r="I49" s="19">
        <f>E3_Consommateurs!$H18*(E3_Consommateurs!$H21&lt;I$42)+E3_Consommateurs!$H18*(E3_Consommateurs!$H21=I$42)*E3_Consommateurs!$H20</f>
        <v>30</v>
      </c>
      <c r="J49" s="19">
        <f>E3_Consommateurs!$H18*(E3_Consommateurs!$H21&lt;J$42)+E3_Consommateurs!$H18*(E3_Consommateurs!$H21=J$42)*E3_Consommateurs!$H20</f>
        <v>30</v>
      </c>
      <c r="K49" s="19">
        <f>E3_Consommateurs!$H18*(E3_Consommateurs!$H21&lt;K$42)+E3_Consommateurs!$H18*(E3_Consommateurs!$H21=K$42)*E3_Consommateurs!$H20</f>
        <v>30</v>
      </c>
      <c r="L49" s="19">
        <f>E3_Consommateurs!$H18*(E3_Consommateurs!$H21&lt;L$42)+E3_Consommateurs!$H18*(E3_Consommateurs!$H21=L$42)*E3_Consommateurs!$H20</f>
        <v>30</v>
      </c>
      <c r="M49" s="19">
        <f>E3_Consommateurs!$H18*(E3_Consommateurs!$H21&lt;M$42)+E3_Consommateurs!$H18*(E3_Consommateurs!$H21=M$42)*E3_Consommateurs!$H20</f>
        <v>30</v>
      </c>
      <c r="N49" s="19">
        <f>E3_Consommateurs!$H18*(E3_Consommateurs!$H21&lt;N$42)+E3_Consommateurs!$H18*(E3_Consommateurs!$H21=N$42)*E3_Consommateurs!$H20</f>
        <v>30</v>
      </c>
      <c r="O49" s="19">
        <f>E3_Consommateurs!$H18*(E3_Consommateurs!$H21&lt;O$42)+E3_Consommateurs!$H18*(E3_Consommateurs!$H21=O$42)*E3_Consommateurs!$H20</f>
        <v>30</v>
      </c>
      <c r="P49" s="19">
        <f>E3_Consommateurs!$H18*(E3_Consommateurs!$H21&lt;P$42)+E3_Consommateurs!$H18*(E3_Consommateurs!$H21=P$42)*E3_Consommateurs!$H20</f>
        <v>30</v>
      </c>
      <c r="Q49" s="19">
        <f>E3_Consommateurs!$H18*(E3_Consommateurs!$H21&lt;Q$42)+E3_Consommateurs!$H18*(E3_Consommateurs!$H21=Q$42)*E3_Consommateurs!$H20</f>
        <v>30</v>
      </c>
      <c r="R49" s="19">
        <f>E3_Consommateurs!$H18*(E3_Consommateurs!$H21&lt;R$42)+E3_Consommateurs!$H18*(E3_Consommateurs!$H21=R$42)*E3_Consommateurs!$H20</f>
        <v>30</v>
      </c>
      <c r="S49" s="19">
        <f>E3_Consommateurs!$H18*(E3_Consommateurs!$H21&lt;S$42)+E3_Consommateurs!$H18*(E3_Consommateurs!$H21=S$42)*E3_Consommateurs!$H20</f>
        <v>30</v>
      </c>
    </row>
    <row r="50" spans="1:23" x14ac:dyDescent="0.2">
      <c r="B50" s="27" t="str">
        <f t="shared" si="2"/>
        <v>Client 6</v>
      </c>
      <c r="C50" s="27" t="s">
        <v>538</v>
      </c>
      <c r="D50" s="19">
        <f>E3_Consommateurs!$I18*(E3_Consommateurs!$I21&lt;D$42)+E3_Consommateurs!$I18*(E3_Consommateurs!$I21=D$42)*E3_Consommateurs!$I20</f>
        <v>0</v>
      </c>
      <c r="E50" s="19">
        <f>E3_Consommateurs!$I18*(E3_Consommateurs!$I21&lt;E$42)+E3_Consommateurs!$I18*(E3_Consommateurs!$I21=E$42)*E3_Consommateurs!$I20</f>
        <v>600</v>
      </c>
      <c r="F50" s="19">
        <f>E3_Consommateurs!$I18*(E3_Consommateurs!$I21&lt;F$42)+E3_Consommateurs!$I18*(E3_Consommateurs!$I21=F$42)*E3_Consommateurs!$I20</f>
        <v>1500</v>
      </c>
      <c r="G50" s="19">
        <f>E3_Consommateurs!$I18*(E3_Consommateurs!$I21&lt;G$42)+E3_Consommateurs!$I18*(E3_Consommateurs!$I21=G$42)*E3_Consommateurs!$I20</f>
        <v>1500</v>
      </c>
      <c r="H50" s="19">
        <f>E3_Consommateurs!$I18*(E3_Consommateurs!$I21&lt;H$42)+E3_Consommateurs!$I18*(E3_Consommateurs!$I21=H$42)*E3_Consommateurs!$I20</f>
        <v>1500</v>
      </c>
      <c r="I50" s="19">
        <f>E3_Consommateurs!$I18*(E3_Consommateurs!$I21&lt;I$42)+E3_Consommateurs!$I18*(E3_Consommateurs!$I21=I$42)*E3_Consommateurs!$I20</f>
        <v>1500</v>
      </c>
      <c r="J50" s="19">
        <f>E3_Consommateurs!$I18*(E3_Consommateurs!$I21&lt;J$42)+E3_Consommateurs!$I18*(E3_Consommateurs!$I21=J$42)*E3_Consommateurs!$I20</f>
        <v>1500</v>
      </c>
      <c r="K50" s="19">
        <f>E3_Consommateurs!$I18*(E3_Consommateurs!$I21&lt;K$42)+E3_Consommateurs!$I18*(E3_Consommateurs!$I21=K$42)*E3_Consommateurs!$I20</f>
        <v>1500</v>
      </c>
      <c r="L50" s="19">
        <f>E3_Consommateurs!$I18*(E3_Consommateurs!$I21&lt;L$42)+E3_Consommateurs!$I18*(E3_Consommateurs!$I21=L$42)*E3_Consommateurs!$I20</f>
        <v>1500</v>
      </c>
      <c r="M50" s="19">
        <f>E3_Consommateurs!$I18*(E3_Consommateurs!$I21&lt;M$42)+E3_Consommateurs!$I18*(E3_Consommateurs!$I21=M$42)*E3_Consommateurs!$I20</f>
        <v>1500</v>
      </c>
      <c r="N50" s="19">
        <f>E3_Consommateurs!$I18*(E3_Consommateurs!$I21&lt;N$42)+E3_Consommateurs!$I18*(E3_Consommateurs!$I21=N$42)*E3_Consommateurs!$I20</f>
        <v>1500</v>
      </c>
      <c r="O50" s="19">
        <f>E3_Consommateurs!$I18*(E3_Consommateurs!$I21&lt;O$42)+E3_Consommateurs!$I18*(E3_Consommateurs!$I21=O$42)*E3_Consommateurs!$I20</f>
        <v>1500</v>
      </c>
      <c r="P50" s="19">
        <f>E3_Consommateurs!$I18*(E3_Consommateurs!$I21&lt;P$42)+E3_Consommateurs!$I18*(E3_Consommateurs!$I21=P$42)*E3_Consommateurs!$I20</f>
        <v>1500</v>
      </c>
      <c r="Q50" s="19">
        <f>E3_Consommateurs!$I18*(E3_Consommateurs!$I21&lt;Q$42)+E3_Consommateurs!$I18*(E3_Consommateurs!$I21=Q$42)*E3_Consommateurs!$I20</f>
        <v>1500</v>
      </c>
      <c r="R50" s="19">
        <f>E3_Consommateurs!$I18*(E3_Consommateurs!$I21&lt;R$42)+E3_Consommateurs!$I18*(E3_Consommateurs!$I21=R$42)*E3_Consommateurs!$I20</f>
        <v>1500</v>
      </c>
      <c r="S50" s="19">
        <f>E3_Consommateurs!$I18*(E3_Consommateurs!$I21&lt;S$42)+E3_Consommateurs!$I18*(E3_Consommateurs!$I21=S$42)*E3_Consommateurs!$I20</f>
        <v>1500</v>
      </c>
    </row>
    <row r="51" spans="1:23" x14ac:dyDescent="0.2">
      <c r="B51" s="27">
        <f t="shared" si="2"/>
        <v>0</v>
      </c>
      <c r="C51" s="27" t="s">
        <v>538</v>
      </c>
      <c r="D51" s="19">
        <f>E3_Consommateurs!$J18*(E3_Consommateurs!$J21&lt;D$42)+E3_Consommateurs!$J18*(E3_Consommateurs!$J21=D$42)*E3_Consommateurs!$J20</f>
        <v>0</v>
      </c>
      <c r="E51" s="19">
        <f>E3_Consommateurs!$J18*(E3_Consommateurs!$J21&lt;E$42)+E3_Consommateurs!$J18*(E3_Consommateurs!$J21=E$42)*E3_Consommateurs!$J20</f>
        <v>0</v>
      </c>
      <c r="F51" s="19">
        <f>E3_Consommateurs!$J18*(E3_Consommateurs!$J21&lt;F$42)+E3_Consommateurs!$J18*(E3_Consommateurs!$J21=F$42)*E3_Consommateurs!$J20</f>
        <v>0</v>
      </c>
      <c r="G51" s="19">
        <f>E3_Consommateurs!$J18*(E3_Consommateurs!$J21&lt;G$42)+E3_Consommateurs!$J18*(E3_Consommateurs!$J21=G$42)*E3_Consommateurs!$J20</f>
        <v>0</v>
      </c>
      <c r="H51" s="19">
        <f>E3_Consommateurs!$J18*(E3_Consommateurs!$J21&lt;H$42)+E3_Consommateurs!$J18*(E3_Consommateurs!$J21=H$42)*E3_Consommateurs!$J20</f>
        <v>0</v>
      </c>
      <c r="I51" s="19">
        <f>E3_Consommateurs!$J18*(E3_Consommateurs!$J21&lt;I$42)+E3_Consommateurs!$J18*(E3_Consommateurs!$J21=I$42)*E3_Consommateurs!$J20</f>
        <v>0</v>
      </c>
      <c r="J51" s="19">
        <f>E3_Consommateurs!$J18*(E3_Consommateurs!$J21&lt;J$42)+E3_Consommateurs!$J18*(E3_Consommateurs!$J21=J$42)*E3_Consommateurs!$J20</f>
        <v>0</v>
      </c>
      <c r="K51" s="19">
        <f>E3_Consommateurs!$J18*(E3_Consommateurs!$J21&lt;K$42)+E3_Consommateurs!$J18*(E3_Consommateurs!$J21=K$42)*E3_Consommateurs!$J20</f>
        <v>0</v>
      </c>
      <c r="L51" s="19">
        <f>E3_Consommateurs!$J18*(E3_Consommateurs!$J21&lt;L$42)+E3_Consommateurs!$J18*(E3_Consommateurs!$J21=L$42)*E3_Consommateurs!$J20</f>
        <v>0</v>
      </c>
      <c r="M51" s="19">
        <f>E3_Consommateurs!$J18*(E3_Consommateurs!$J21&lt;M$42)+E3_Consommateurs!$J18*(E3_Consommateurs!$J21=M$42)*E3_Consommateurs!$J20</f>
        <v>0</v>
      </c>
      <c r="N51" s="19">
        <f>E3_Consommateurs!$J18*(E3_Consommateurs!$J21&lt;N$42)+E3_Consommateurs!$J18*(E3_Consommateurs!$J21=N$42)*E3_Consommateurs!$J20</f>
        <v>0</v>
      </c>
      <c r="O51" s="19">
        <f>E3_Consommateurs!$J18*(E3_Consommateurs!$J21&lt;O$42)+E3_Consommateurs!$J18*(E3_Consommateurs!$J21=O$42)*E3_Consommateurs!$J20</f>
        <v>0</v>
      </c>
      <c r="P51" s="19">
        <f>E3_Consommateurs!$J18*(E3_Consommateurs!$J21&lt;P$42)+E3_Consommateurs!$J18*(E3_Consommateurs!$J21=P$42)*E3_Consommateurs!$J20</f>
        <v>0</v>
      </c>
      <c r="Q51" s="19">
        <f>E3_Consommateurs!$J18*(E3_Consommateurs!$J21&lt;Q$42)+E3_Consommateurs!$J18*(E3_Consommateurs!$J21=Q$42)*E3_Consommateurs!$J20</f>
        <v>0</v>
      </c>
      <c r="R51" s="19">
        <f>E3_Consommateurs!$J18*(E3_Consommateurs!$J21&lt;R$42)+E3_Consommateurs!$J18*(E3_Consommateurs!$J21=R$42)*E3_Consommateurs!$J20</f>
        <v>0</v>
      </c>
      <c r="S51" s="19">
        <f>E3_Consommateurs!$J18*(E3_Consommateurs!$J21&lt;S$42)+E3_Consommateurs!$J18*(E3_Consommateurs!$J21=S$42)*E3_Consommateurs!$J20</f>
        <v>0</v>
      </c>
    </row>
    <row r="52" spans="1:23" x14ac:dyDescent="0.2">
      <c r="B52" s="27">
        <f t="shared" si="2"/>
        <v>0</v>
      </c>
      <c r="C52" s="27" t="s">
        <v>538</v>
      </c>
      <c r="D52" s="19">
        <f>E3_Consommateurs!$K18*(E3_Consommateurs!$K21&lt;D$42)+E3_Consommateurs!$K18*(E3_Consommateurs!$K21=D$42)*E3_Consommateurs!$K20</f>
        <v>0</v>
      </c>
      <c r="E52" s="19">
        <f>E3_Consommateurs!$K18*(E3_Consommateurs!$K21&lt;E$42)+E3_Consommateurs!$K18*(E3_Consommateurs!$K21=E$42)*E3_Consommateurs!$K20</f>
        <v>0</v>
      </c>
      <c r="F52" s="19">
        <f>E3_Consommateurs!$K18*(E3_Consommateurs!$K21&lt;F$42)+E3_Consommateurs!$K18*(E3_Consommateurs!$K21=F$42)*E3_Consommateurs!$K20</f>
        <v>0</v>
      </c>
      <c r="G52" s="19">
        <f>E3_Consommateurs!$K18*(E3_Consommateurs!$K21&lt;G$42)+E3_Consommateurs!$K18*(E3_Consommateurs!$K21=G$42)*E3_Consommateurs!$K20</f>
        <v>0</v>
      </c>
      <c r="H52" s="19">
        <f>E3_Consommateurs!$K18*(E3_Consommateurs!$K21&lt;H$42)+E3_Consommateurs!$K18*(E3_Consommateurs!$K21=H$42)*E3_Consommateurs!$K20</f>
        <v>0</v>
      </c>
      <c r="I52" s="19">
        <f>E3_Consommateurs!$K18*(E3_Consommateurs!$K21&lt;I$42)+E3_Consommateurs!$K18*(E3_Consommateurs!$K21=I$42)*E3_Consommateurs!$K20</f>
        <v>0</v>
      </c>
      <c r="J52" s="19">
        <f>E3_Consommateurs!$K18*(E3_Consommateurs!$K21&lt;J$42)+E3_Consommateurs!$K18*(E3_Consommateurs!$K21=J$42)*E3_Consommateurs!$K20</f>
        <v>0</v>
      </c>
      <c r="K52" s="19">
        <f>E3_Consommateurs!$K18*(E3_Consommateurs!$K21&lt;K$42)+E3_Consommateurs!$K18*(E3_Consommateurs!$K21=K$42)*E3_Consommateurs!$K20</f>
        <v>0</v>
      </c>
      <c r="L52" s="19">
        <f>E3_Consommateurs!$K18*(E3_Consommateurs!$K21&lt;L$42)+E3_Consommateurs!$K18*(E3_Consommateurs!$K21=L$42)*E3_Consommateurs!$K20</f>
        <v>0</v>
      </c>
      <c r="M52" s="19">
        <f>E3_Consommateurs!$K18*(E3_Consommateurs!$K21&lt;M$42)+E3_Consommateurs!$K18*(E3_Consommateurs!$K21=M$42)*E3_Consommateurs!$K20</f>
        <v>0</v>
      </c>
      <c r="N52" s="19">
        <f>E3_Consommateurs!$K18*(E3_Consommateurs!$K21&lt;N$42)+E3_Consommateurs!$K18*(E3_Consommateurs!$K21=N$42)*E3_Consommateurs!$K20</f>
        <v>0</v>
      </c>
      <c r="O52" s="19">
        <f>E3_Consommateurs!$K18*(E3_Consommateurs!$K21&lt;O$42)+E3_Consommateurs!$K18*(E3_Consommateurs!$K21=O$42)*E3_Consommateurs!$K20</f>
        <v>0</v>
      </c>
      <c r="P52" s="19">
        <f>E3_Consommateurs!$K18*(E3_Consommateurs!$K21&lt;P$42)+E3_Consommateurs!$K18*(E3_Consommateurs!$K21=P$42)*E3_Consommateurs!$K20</f>
        <v>0</v>
      </c>
      <c r="Q52" s="19">
        <f>E3_Consommateurs!$K18*(E3_Consommateurs!$K21&lt;Q$42)+E3_Consommateurs!$K18*(E3_Consommateurs!$K21=Q$42)*E3_Consommateurs!$K20</f>
        <v>0</v>
      </c>
      <c r="R52" s="19">
        <f>E3_Consommateurs!$K18*(E3_Consommateurs!$K21&lt;R$42)+E3_Consommateurs!$K18*(E3_Consommateurs!$K21=R$42)*E3_Consommateurs!$K20</f>
        <v>0</v>
      </c>
      <c r="S52" s="19">
        <f>E3_Consommateurs!$K18*(E3_Consommateurs!$K21&lt;S$42)+E3_Consommateurs!$K18*(E3_Consommateurs!$K21=S$42)*E3_Consommateurs!$K20</f>
        <v>0</v>
      </c>
    </row>
    <row r="53" spans="1:23" x14ac:dyDescent="0.2">
      <c r="B53" s="27">
        <f t="shared" si="2"/>
        <v>0</v>
      </c>
      <c r="C53" s="27" t="s">
        <v>538</v>
      </c>
      <c r="D53" s="19">
        <f>E3_Consommateurs!$L18*(E3_Consommateurs!$L21&lt;D$42)+E3_Consommateurs!$L18*(E3_Consommateurs!$L21=D$42)*E3_Consommateurs!$L20</f>
        <v>0</v>
      </c>
      <c r="E53" s="19">
        <f>E3_Consommateurs!$L18*(E3_Consommateurs!$L21&lt;E$42)+E3_Consommateurs!$L18*(E3_Consommateurs!$L21=E$42)*E3_Consommateurs!$L20</f>
        <v>0</v>
      </c>
      <c r="F53" s="19">
        <f>E3_Consommateurs!$L18*(E3_Consommateurs!$L21&lt;F$42)+E3_Consommateurs!$L18*(E3_Consommateurs!$L21=F$42)*E3_Consommateurs!$L20</f>
        <v>0</v>
      </c>
      <c r="G53" s="19">
        <f>E3_Consommateurs!$L18*(E3_Consommateurs!$L21&lt;G$42)+E3_Consommateurs!$L18*(E3_Consommateurs!$L21=G$42)*E3_Consommateurs!$L20</f>
        <v>0</v>
      </c>
      <c r="H53" s="19">
        <f>E3_Consommateurs!$L18*(E3_Consommateurs!$L21&lt;H$42)+E3_Consommateurs!$L18*(E3_Consommateurs!$L21=H$42)*E3_Consommateurs!$L20</f>
        <v>0</v>
      </c>
      <c r="I53" s="19">
        <f>E3_Consommateurs!$L18*(E3_Consommateurs!$L21&lt;I$42)+E3_Consommateurs!$L18*(E3_Consommateurs!$L21=I$42)*E3_Consommateurs!$L20</f>
        <v>0</v>
      </c>
      <c r="J53" s="19">
        <f>E3_Consommateurs!$L18*(E3_Consommateurs!$L21&lt;J$42)+E3_Consommateurs!$L18*(E3_Consommateurs!$L21=J$42)*E3_Consommateurs!$L20</f>
        <v>0</v>
      </c>
      <c r="K53" s="19">
        <f>E3_Consommateurs!$L18*(E3_Consommateurs!$L21&lt;K$42)+E3_Consommateurs!$L18*(E3_Consommateurs!$L21=K$42)*E3_Consommateurs!$L20</f>
        <v>0</v>
      </c>
      <c r="L53" s="19">
        <f>E3_Consommateurs!$L18*(E3_Consommateurs!$L21&lt;L$42)+E3_Consommateurs!$L18*(E3_Consommateurs!$L21=L$42)*E3_Consommateurs!$L20</f>
        <v>0</v>
      </c>
      <c r="M53" s="19">
        <f>E3_Consommateurs!$L18*(E3_Consommateurs!$L21&lt;M$42)+E3_Consommateurs!$L18*(E3_Consommateurs!$L21=M$42)*E3_Consommateurs!$L20</f>
        <v>0</v>
      </c>
      <c r="N53" s="19">
        <f>E3_Consommateurs!$L18*(E3_Consommateurs!$L21&lt;N$42)+E3_Consommateurs!$L18*(E3_Consommateurs!$L21=N$42)*E3_Consommateurs!$L20</f>
        <v>0</v>
      </c>
      <c r="O53" s="19">
        <f>E3_Consommateurs!$L18*(E3_Consommateurs!$L21&lt;O$42)+E3_Consommateurs!$L18*(E3_Consommateurs!$L21=O$42)*E3_Consommateurs!$L20</f>
        <v>0</v>
      </c>
      <c r="P53" s="19">
        <f>E3_Consommateurs!$L18*(E3_Consommateurs!$L21&lt;P$42)+E3_Consommateurs!$L18*(E3_Consommateurs!$L21=P$42)*E3_Consommateurs!$L20</f>
        <v>0</v>
      </c>
      <c r="Q53" s="19">
        <f>E3_Consommateurs!$L18*(E3_Consommateurs!$L21&lt;Q$42)+E3_Consommateurs!$L18*(E3_Consommateurs!$L21=Q$42)*E3_Consommateurs!$L20</f>
        <v>0</v>
      </c>
      <c r="R53" s="19">
        <f>E3_Consommateurs!$L18*(E3_Consommateurs!$L21&lt;R$42)+E3_Consommateurs!$L18*(E3_Consommateurs!$L21=R$42)*E3_Consommateurs!$L20</f>
        <v>0</v>
      </c>
      <c r="S53" s="19">
        <f>E3_Consommateurs!$L18*(E3_Consommateurs!$L21&lt;S$42)+E3_Consommateurs!$L18*(E3_Consommateurs!$L21=S$42)*E3_Consommateurs!$L20</f>
        <v>0</v>
      </c>
    </row>
    <row r="54" spans="1:23" x14ac:dyDescent="0.2">
      <c r="B54" s="27">
        <f t="shared" si="2"/>
        <v>0</v>
      </c>
      <c r="C54" s="27" t="s">
        <v>538</v>
      </c>
      <c r="D54" s="19">
        <f>E3_Consommateurs!$M18*(E3_Consommateurs!$M21&lt;D$42)+E3_Consommateurs!$M18*(E3_Consommateurs!$M21=D$42)*E3_Consommateurs!$M20</f>
        <v>0</v>
      </c>
      <c r="E54" s="19">
        <f>E3_Consommateurs!$M18*(E3_Consommateurs!$M21&lt;E$42)+E3_Consommateurs!$M18*(E3_Consommateurs!$M21=E$42)*E3_Consommateurs!$M20</f>
        <v>0</v>
      </c>
      <c r="F54" s="19">
        <f>E3_Consommateurs!$M18*(E3_Consommateurs!$M21&lt;F$42)+E3_Consommateurs!$M18*(E3_Consommateurs!$M21=F$42)*E3_Consommateurs!$M20</f>
        <v>0</v>
      </c>
      <c r="G54" s="19">
        <f>E3_Consommateurs!$M18*(E3_Consommateurs!$M21&lt;G$42)+E3_Consommateurs!$M18*(E3_Consommateurs!$M21=G$42)*E3_Consommateurs!$M20</f>
        <v>0</v>
      </c>
      <c r="H54" s="19">
        <f>E3_Consommateurs!$M18*(E3_Consommateurs!$M21&lt;H$42)+E3_Consommateurs!$M18*(E3_Consommateurs!$M21=H$42)*E3_Consommateurs!$M20</f>
        <v>0</v>
      </c>
      <c r="I54" s="19">
        <f>E3_Consommateurs!$M18*(E3_Consommateurs!$M21&lt;I$42)+E3_Consommateurs!$M18*(E3_Consommateurs!$M21=I$42)*E3_Consommateurs!$M20</f>
        <v>0</v>
      </c>
      <c r="J54" s="19">
        <f>E3_Consommateurs!$M18*(E3_Consommateurs!$M21&lt;J$42)+E3_Consommateurs!$M18*(E3_Consommateurs!$M21=J$42)*E3_Consommateurs!$M20</f>
        <v>0</v>
      </c>
      <c r="K54" s="19">
        <f>E3_Consommateurs!$M18*(E3_Consommateurs!$M21&lt;K$42)+E3_Consommateurs!$M18*(E3_Consommateurs!$M21=K$42)*E3_Consommateurs!$M20</f>
        <v>0</v>
      </c>
      <c r="L54" s="19">
        <f>E3_Consommateurs!$M18*(E3_Consommateurs!$M21&lt;L$42)+E3_Consommateurs!$M18*(E3_Consommateurs!$M21=L$42)*E3_Consommateurs!$M20</f>
        <v>0</v>
      </c>
      <c r="M54" s="19">
        <f>E3_Consommateurs!$M18*(E3_Consommateurs!$M21&lt;M$42)+E3_Consommateurs!$M18*(E3_Consommateurs!$M21=M$42)*E3_Consommateurs!$M20</f>
        <v>0</v>
      </c>
      <c r="N54" s="19">
        <f>E3_Consommateurs!$M18*(E3_Consommateurs!$M21&lt;N$42)+E3_Consommateurs!$M18*(E3_Consommateurs!$M21=N$42)*E3_Consommateurs!$M20</f>
        <v>0</v>
      </c>
      <c r="O54" s="19">
        <f>E3_Consommateurs!$M18*(E3_Consommateurs!$M21&lt;O$42)+E3_Consommateurs!$M18*(E3_Consommateurs!$M21=O$42)*E3_Consommateurs!$M20</f>
        <v>0</v>
      </c>
      <c r="P54" s="19">
        <f>E3_Consommateurs!$M18*(E3_Consommateurs!$M21&lt;P$42)+E3_Consommateurs!$M18*(E3_Consommateurs!$M21=P$42)*E3_Consommateurs!$M20</f>
        <v>0</v>
      </c>
      <c r="Q54" s="19">
        <f>E3_Consommateurs!$M18*(E3_Consommateurs!$M21&lt;Q$42)+E3_Consommateurs!$M18*(E3_Consommateurs!$M21=Q$42)*E3_Consommateurs!$M20</f>
        <v>0</v>
      </c>
      <c r="R54" s="19">
        <f>E3_Consommateurs!$M18*(E3_Consommateurs!$M21&lt;R$42)+E3_Consommateurs!$M18*(E3_Consommateurs!$M21=R$42)*E3_Consommateurs!$M20</f>
        <v>0</v>
      </c>
      <c r="S54" s="19">
        <f>E3_Consommateurs!$M18*(E3_Consommateurs!$M21&lt;S$42)+E3_Consommateurs!$M18*(E3_Consommateurs!$M21=S$42)*E3_Consommateurs!$M20</f>
        <v>0</v>
      </c>
    </row>
    <row r="55" spans="1:23" x14ac:dyDescent="0.2">
      <c r="B55" s="27">
        <f t="shared" si="2"/>
        <v>0</v>
      </c>
      <c r="C55" s="27" t="s">
        <v>538</v>
      </c>
      <c r="D55" s="19">
        <f>E3_Consommateurs!$N18*(E3_Consommateurs!$N21&lt;D$42)+E3_Consommateurs!$N18*(E3_Consommateurs!$N21=D$42)*E3_Consommateurs!$N20</f>
        <v>0</v>
      </c>
      <c r="E55" s="19">
        <f>E3_Consommateurs!$N18*(E3_Consommateurs!$N21&lt;E$42)+E3_Consommateurs!$N18*(E3_Consommateurs!$N21=E$42)*E3_Consommateurs!$N20</f>
        <v>0</v>
      </c>
      <c r="F55" s="19">
        <f>E3_Consommateurs!$N18*(E3_Consommateurs!$N21&lt;F$42)+E3_Consommateurs!$N18*(E3_Consommateurs!$N21=F$42)*E3_Consommateurs!$N20</f>
        <v>0</v>
      </c>
      <c r="G55" s="19">
        <f>E3_Consommateurs!$N18*(E3_Consommateurs!$N21&lt;G$42)+E3_Consommateurs!$N18*(E3_Consommateurs!$N21=G$42)*E3_Consommateurs!$N20</f>
        <v>0</v>
      </c>
      <c r="H55" s="19">
        <f>E3_Consommateurs!$N18*(E3_Consommateurs!$N21&lt;H$42)+E3_Consommateurs!$N18*(E3_Consommateurs!$N21=H$42)*E3_Consommateurs!$N20</f>
        <v>0</v>
      </c>
      <c r="I55" s="19">
        <f>E3_Consommateurs!$N18*(E3_Consommateurs!$N21&lt;I$42)+E3_Consommateurs!$N18*(E3_Consommateurs!$N21=I$42)*E3_Consommateurs!$N20</f>
        <v>0</v>
      </c>
      <c r="J55" s="19">
        <f>E3_Consommateurs!$N18*(E3_Consommateurs!$N21&lt;J$42)+E3_Consommateurs!$N18*(E3_Consommateurs!$N21=J$42)*E3_Consommateurs!$N20</f>
        <v>0</v>
      </c>
      <c r="K55" s="19">
        <f>E3_Consommateurs!$N18*(E3_Consommateurs!$N21&lt;K$42)+E3_Consommateurs!$N18*(E3_Consommateurs!$N21=K$42)*E3_Consommateurs!$N20</f>
        <v>0</v>
      </c>
      <c r="L55" s="19">
        <f>E3_Consommateurs!$N18*(E3_Consommateurs!$N21&lt;L$42)+E3_Consommateurs!$N18*(E3_Consommateurs!$N21=L$42)*E3_Consommateurs!$N20</f>
        <v>0</v>
      </c>
      <c r="M55" s="19">
        <f>E3_Consommateurs!$N18*(E3_Consommateurs!$N21&lt;M$42)+E3_Consommateurs!$N18*(E3_Consommateurs!$N21=M$42)*E3_Consommateurs!$N20</f>
        <v>0</v>
      </c>
      <c r="N55" s="19">
        <f>E3_Consommateurs!$N18*(E3_Consommateurs!$N21&lt;N$42)+E3_Consommateurs!$N18*(E3_Consommateurs!$N21=N$42)*E3_Consommateurs!$N20</f>
        <v>0</v>
      </c>
      <c r="O55" s="19">
        <f>E3_Consommateurs!$N18*(E3_Consommateurs!$N21&lt;O$42)+E3_Consommateurs!$N18*(E3_Consommateurs!$N21=O$42)*E3_Consommateurs!$N20</f>
        <v>0</v>
      </c>
      <c r="P55" s="19">
        <f>E3_Consommateurs!$N18*(E3_Consommateurs!$N21&lt;P$42)+E3_Consommateurs!$N18*(E3_Consommateurs!$N21=P$42)*E3_Consommateurs!$N20</f>
        <v>0</v>
      </c>
      <c r="Q55" s="19">
        <f>E3_Consommateurs!$N18*(E3_Consommateurs!$N21&lt;Q$42)+E3_Consommateurs!$N18*(E3_Consommateurs!$N21=Q$42)*E3_Consommateurs!$N20</f>
        <v>0</v>
      </c>
      <c r="R55" s="19">
        <f>E3_Consommateurs!$N18*(E3_Consommateurs!$N21&lt;R$42)+E3_Consommateurs!$N18*(E3_Consommateurs!$N21=R$42)*E3_Consommateurs!$N20</f>
        <v>0</v>
      </c>
      <c r="S55" s="19">
        <f>E3_Consommateurs!$N18*(E3_Consommateurs!$N21&lt;S$42)+E3_Consommateurs!$N18*(E3_Consommateurs!$N21=S$42)*E3_Consommateurs!$N20</f>
        <v>0</v>
      </c>
    </row>
    <row r="56" spans="1:23" x14ac:dyDescent="0.2">
      <c r="B56" s="27">
        <f t="shared" si="2"/>
        <v>0</v>
      </c>
      <c r="C56" s="27" t="s">
        <v>538</v>
      </c>
      <c r="D56" s="19">
        <f>E3_Consommateurs!$O18*(E3_Consommateurs!$O21&lt;D$42)+E3_Consommateurs!$O18*(E3_Consommateurs!$O21=D$42)*E3_Consommateurs!$O20</f>
        <v>0</v>
      </c>
      <c r="E56" s="19">
        <f>E3_Consommateurs!$O18*(E3_Consommateurs!$O21&lt;E$42)+E3_Consommateurs!$O18*(E3_Consommateurs!$O21=E$42)*E3_Consommateurs!$O20</f>
        <v>0</v>
      </c>
      <c r="F56" s="19">
        <f>E3_Consommateurs!$O18*(E3_Consommateurs!$O21&lt;F$42)+E3_Consommateurs!$O18*(E3_Consommateurs!$O21=F$42)*E3_Consommateurs!$O20</f>
        <v>0</v>
      </c>
      <c r="G56" s="19">
        <f>E3_Consommateurs!$O18*(E3_Consommateurs!$O21&lt;G$42)+E3_Consommateurs!$O18*(E3_Consommateurs!$O21=G$42)*E3_Consommateurs!$O20</f>
        <v>0</v>
      </c>
      <c r="H56" s="19">
        <f>E3_Consommateurs!$O18*(E3_Consommateurs!$O21&lt;H$42)+E3_Consommateurs!$O18*(E3_Consommateurs!$O21=H$42)*E3_Consommateurs!$O20</f>
        <v>0</v>
      </c>
      <c r="I56" s="19">
        <f>E3_Consommateurs!$O18*(E3_Consommateurs!$O21&lt;I$42)+E3_Consommateurs!$O18*(E3_Consommateurs!$O21=I$42)*E3_Consommateurs!$O20</f>
        <v>0</v>
      </c>
      <c r="J56" s="19">
        <f>E3_Consommateurs!$O18*(E3_Consommateurs!$O21&lt;J$42)+E3_Consommateurs!$O18*(E3_Consommateurs!$O21=J$42)*E3_Consommateurs!$O20</f>
        <v>0</v>
      </c>
      <c r="K56" s="19">
        <f>E3_Consommateurs!$O18*(E3_Consommateurs!$O21&lt;K$42)+E3_Consommateurs!$O18*(E3_Consommateurs!$O21=K$42)*E3_Consommateurs!$O20</f>
        <v>0</v>
      </c>
      <c r="L56" s="19">
        <f>E3_Consommateurs!$O18*(E3_Consommateurs!$O21&lt;L$42)+E3_Consommateurs!$O18*(E3_Consommateurs!$O21=L$42)*E3_Consommateurs!$O20</f>
        <v>0</v>
      </c>
      <c r="M56" s="19">
        <f>E3_Consommateurs!$O18*(E3_Consommateurs!$O21&lt;M$42)+E3_Consommateurs!$O18*(E3_Consommateurs!$O21=M$42)*E3_Consommateurs!$O20</f>
        <v>0</v>
      </c>
      <c r="N56" s="19">
        <f>E3_Consommateurs!$O18*(E3_Consommateurs!$O21&lt;N$42)+E3_Consommateurs!$O18*(E3_Consommateurs!$O21=N$42)*E3_Consommateurs!$O20</f>
        <v>0</v>
      </c>
      <c r="O56" s="19">
        <f>E3_Consommateurs!$O18*(E3_Consommateurs!$O21&lt;O$42)+E3_Consommateurs!$O18*(E3_Consommateurs!$O21=O$42)*E3_Consommateurs!$O20</f>
        <v>0</v>
      </c>
      <c r="P56" s="19">
        <f>E3_Consommateurs!$O18*(E3_Consommateurs!$O21&lt;P$42)+E3_Consommateurs!$O18*(E3_Consommateurs!$O21=P$42)*E3_Consommateurs!$O20</f>
        <v>0</v>
      </c>
      <c r="Q56" s="19">
        <f>E3_Consommateurs!$O18*(E3_Consommateurs!$O21&lt;Q$42)+E3_Consommateurs!$O18*(E3_Consommateurs!$O21=Q$42)*E3_Consommateurs!$O20</f>
        <v>0</v>
      </c>
      <c r="R56" s="19">
        <f>E3_Consommateurs!$O18*(E3_Consommateurs!$O21&lt;R$42)+E3_Consommateurs!$O18*(E3_Consommateurs!$O21=R$42)*E3_Consommateurs!$O20</f>
        <v>0</v>
      </c>
      <c r="S56" s="19">
        <f>E3_Consommateurs!$O18*(E3_Consommateurs!$O21&lt;S$42)+E3_Consommateurs!$O18*(E3_Consommateurs!$O21=S$42)*E3_Consommateurs!$O20</f>
        <v>0</v>
      </c>
    </row>
    <row r="57" spans="1:23" x14ac:dyDescent="0.2">
      <c r="B57" s="27">
        <f t="shared" si="2"/>
        <v>0</v>
      </c>
      <c r="C57" s="27" t="s">
        <v>538</v>
      </c>
      <c r="D57" s="19">
        <f>E3_Consommateurs!$P18*(E3_Consommateurs!$P21&lt;D$42)+E3_Consommateurs!$P18*(E3_Consommateurs!$P21=D$42)*E3_Consommateurs!$P20</f>
        <v>0</v>
      </c>
      <c r="E57" s="19">
        <f>E3_Consommateurs!$P18*(E3_Consommateurs!$P21&lt;E$42)+E3_Consommateurs!$P18*(E3_Consommateurs!$P21=E$42)*E3_Consommateurs!$P20</f>
        <v>0</v>
      </c>
      <c r="F57" s="19">
        <f>E3_Consommateurs!$P18*(E3_Consommateurs!$P21&lt;F$42)+E3_Consommateurs!$P18*(E3_Consommateurs!$P21=F$42)*E3_Consommateurs!$P20</f>
        <v>0</v>
      </c>
      <c r="G57" s="19">
        <f>E3_Consommateurs!$P18*(E3_Consommateurs!$P21&lt;G$42)+E3_Consommateurs!$P18*(E3_Consommateurs!$P21=G$42)*E3_Consommateurs!$P20</f>
        <v>0</v>
      </c>
      <c r="H57" s="19">
        <f>E3_Consommateurs!$P18*(E3_Consommateurs!$P21&lt;H$42)+E3_Consommateurs!$P18*(E3_Consommateurs!$P21=H$42)*E3_Consommateurs!$P20</f>
        <v>0</v>
      </c>
      <c r="I57" s="19">
        <f>E3_Consommateurs!$P18*(E3_Consommateurs!$P21&lt;I$42)+E3_Consommateurs!$P18*(E3_Consommateurs!$P21=I$42)*E3_Consommateurs!$P20</f>
        <v>0</v>
      </c>
      <c r="J57" s="19">
        <f>E3_Consommateurs!$P18*(E3_Consommateurs!$P21&lt;J$42)+E3_Consommateurs!$P18*(E3_Consommateurs!$P21=J$42)*E3_Consommateurs!$P20</f>
        <v>0</v>
      </c>
      <c r="K57" s="19">
        <f>E3_Consommateurs!$P18*(E3_Consommateurs!$P21&lt;K$42)+E3_Consommateurs!$P18*(E3_Consommateurs!$P21=K$42)*E3_Consommateurs!$P20</f>
        <v>0</v>
      </c>
      <c r="L57" s="19">
        <f>E3_Consommateurs!$P18*(E3_Consommateurs!$P21&lt;L$42)+E3_Consommateurs!$P18*(E3_Consommateurs!$P21=L$42)*E3_Consommateurs!$P20</f>
        <v>0</v>
      </c>
      <c r="M57" s="19">
        <f>E3_Consommateurs!$P18*(E3_Consommateurs!$P21&lt;M$42)+E3_Consommateurs!$P18*(E3_Consommateurs!$P21=M$42)*E3_Consommateurs!$P20</f>
        <v>0</v>
      </c>
      <c r="N57" s="19">
        <f>E3_Consommateurs!$P18*(E3_Consommateurs!$P21&lt;N$42)+E3_Consommateurs!$P18*(E3_Consommateurs!$P21=N$42)*E3_Consommateurs!$P20</f>
        <v>0</v>
      </c>
      <c r="O57" s="19">
        <f>E3_Consommateurs!$P18*(E3_Consommateurs!$P21&lt;O$42)+E3_Consommateurs!$P18*(E3_Consommateurs!$P21=O$42)*E3_Consommateurs!$P20</f>
        <v>0</v>
      </c>
      <c r="P57" s="19">
        <f>E3_Consommateurs!$P18*(E3_Consommateurs!$P21&lt;P$42)+E3_Consommateurs!$P18*(E3_Consommateurs!$P21=P$42)*E3_Consommateurs!$P20</f>
        <v>0</v>
      </c>
      <c r="Q57" s="19">
        <f>E3_Consommateurs!$P18*(E3_Consommateurs!$P21&lt;Q$42)+E3_Consommateurs!$P18*(E3_Consommateurs!$P21=Q$42)*E3_Consommateurs!$P20</f>
        <v>0</v>
      </c>
      <c r="R57" s="19">
        <f>E3_Consommateurs!$P18*(E3_Consommateurs!$P21&lt;R$42)+E3_Consommateurs!$P18*(E3_Consommateurs!$P21=R$42)*E3_Consommateurs!$P20</f>
        <v>0</v>
      </c>
      <c r="S57" s="19">
        <f>E3_Consommateurs!$P18*(E3_Consommateurs!$P21&lt;S$42)+E3_Consommateurs!$P18*(E3_Consommateurs!$P21=S$42)*E3_Consommateurs!$P20</f>
        <v>0</v>
      </c>
    </row>
    <row r="58" spans="1:23" x14ac:dyDescent="0.2">
      <c r="B58" s="27">
        <f t="shared" si="2"/>
        <v>0</v>
      </c>
      <c r="C58" s="27" t="s">
        <v>538</v>
      </c>
      <c r="D58" s="19">
        <f>E3_Consommateurs!$Q18*(E3_Consommateurs!$Q21&lt;D$42)+E3_Consommateurs!$Q18*(E3_Consommateurs!$Q21=D$42)*E3_Consommateurs!$Q20</f>
        <v>0</v>
      </c>
      <c r="E58" s="19">
        <f>E3_Consommateurs!$Q18*(E3_Consommateurs!$Q21&lt;E$42)+E3_Consommateurs!$Q18*(E3_Consommateurs!$Q21=E$42)*E3_Consommateurs!$Q20</f>
        <v>0</v>
      </c>
      <c r="F58" s="19">
        <f>E3_Consommateurs!$Q18*(E3_Consommateurs!$Q21&lt;F$42)+E3_Consommateurs!$Q18*(E3_Consommateurs!$Q21=F$42)*E3_Consommateurs!$Q20</f>
        <v>0</v>
      </c>
      <c r="G58" s="19">
        <f>E3_Consommateurs!$Q18*(E3_Consommateurs!$Q21&lt;G$42)+E3_Consommateurs!$Q18*(E3_Consommateurs!$Q21=G$42)*E3_Consommateurs!$Q20</f>
        <v>0</v>
      </c>
      <c r="H58" s="19">
        <f>E3_Consommateurs!$Q18*(E3_Consommateurs!$Q21&lt;H$42)+E3_Consommateurs!$Q18*(E3_Consommateurs!$Q21=H$42)*E3_Consommateurs!$Q20</f>
        <v>0</v>
      </c>
      <c r="I58" s="19">
        <f>E3_Consommateurs!$Q18*(E3_Consommateurs!$Q21&lt;I$42)+E3_Consommateurs!$Q18*(E3_Consommateurs!$Q21=I$42)*E3_Consommateurs!$Q20</f>
        <v>0</v>
      </c>
      <c r="J58" s="19">
        <f>E3_Consommateurs!$Q18*(E3_Consommateurs!$Q21&lt;J$42)+E3_Consommateurs!$Q18*(E3_Consommateurs!$Q21=J$42)*E3_Consommateurs!$Q20</f>
        <v>0</v>
      </c>
      <c r="K58" s="19">
        <f>E3_Consommateurs!$Q18*(E3_Consommateurs!$Q21&lt;K$42)+E3_Consommateurs!$Q18*(E3_Consommateurs!$Q21=K$42)*E3_Consommateurs!$Q20</f>
        <v>0</v>
      </c>
      <c r="L58" s="19">
        <f>E3_Consommateurs!$Q18*(E3_Consommateurs!$Q21&lt;L$42)+E3_Consommateurs!$Q18*(E3_Consommateurs!$Q21=L$42)*E3_Consommateurs!$Q20</f>
        <v>0</v>
      </c>
      <c r="M58" s="19">
        <f>E3_Consommateurs!$Q18*(E3_Consommateurs!$Q21&lt;M$42)+E3_Consommateurs!$Q18*(E3_Consommateurs!$Q21=M$42)*E3_Consommateurs!$Q20</f>
        <v>0</v>
      </c>
      <c r="N58" s="19">
        <f>E3_Consommateurs!$Q18*(E3_Consommateurs!$Q21&lt;N$42)+E3_Consommateurs!$Q18*(E3_Consommateurs!$Q21=N$42)*E3_Consommateurs!$Q20</f>
        <v>0</v>
      </c>
      <c r="O58" s="19">
        <f>E3_Consommateurs!$Q18*(E3_Consommateurs!$Q21&lt;O$42)+E3_Consommateurs!$Q18*(E3_Consommateurs!$Q21=O$42)*E3_Consommateurs!$Q20</f>
        <v>0</v>
      </c>
      <c r="P58" s="19">
        <f>E3_Consommateurs!$Q18*(E3_Consommateurs!$Q21&lt;P$42)+E3_Consommateurs!$Q18*(E3_Consommateurs!$Q21=P$42)*E3_Consommateurs!$Q20</f>
        <v>0</v>
      </c>
      <c r="Q58" s="19">
        <f>E3_Consommateurs!$Q18*(E3_Consommateurs!$Q21&lt;Q$42)+E3_Consommateurs!$Q18*(E3_Consommateurs!$Q21=Q$42)*E3_Consommateurs!$Q20</f>
        <v>0</v>
      </c>
      <c r="R58" s="19">
        <f>E3_Consommateurs!$Q18*(E3_Consommateurs!$Q21&lt;R$42)+E3_Consommateurs!$Q18*(E3_Consommateurs!$Q21=R$42)*E3_Consommateurs!$Q20</f>
        <v>0</v>
      </c>
      <c r="S58" s="19">
        <f>E3_Consommateurs!$Q18*(E3_Consommateurs!$Q21&lt;S$42)+E3_Consommateurs!$Q18*(E3_Consommateurs!$Q21=S$42)*E3_Consommateurs!$Q20</f>
        <v>0</v>
      </c>
    </row>
    <row r="59" spans="1:23" x14ac:dyDescent="0.2">
      <c r="B59" s="27">
        <f t="shared" si="2"/>
        <v>0</v>
      </c>
      <c r="C59" s="27" t="s">
        <v>538</v>
      </c>
      <c r="D59" s="19">
        <f>E3_Consommateurs!$R18*(E3_Consommateurs!$R21&lt;D$42)+E3_Consommateurs!$R18*(E3_Consommateurs!$R21=D$42)*E3_Consommateurs!$R20</f>
        <v>0</v>
      </c>
      <c r="E59" s="19">
        <f>E3_Consommateurs!$R18*(E3_Consommateurs!$R21&lt;E$42)+E3_Consommateurs!$R18*(E3_Consommateurs!$R21=E$42)*E3_Consommateurs!$R20</f>
        <v>0</v>
      </c>
      <c r="F59" s="19">
        <f>E3_Consommateurs!$R18*(E3_Consommateurs!$R21&lt;F$42)+E3_Consommateurs!$R18*(E3_Consommateurs!$R21=F$42)*E3_Consommateurs!$R20</f>
        <v>0</v>
      </c>
      <c r="G59" s="19">
        <f>E3_Consommateurs!$R18*(E3_Consommateurs!$R21&lt;G$42)+E3_Consommateurs!$R18*(E3_Consommateurs!$R21=G$42)*E3_Consommateurs!$R20</f>
        <v>0</v>
      </c>
      <c r="H59" s="19">
        <f>E3_Consommateurs!$R18*(E3_Consommateurs!$R21&lt;H$42)+E3_Consommateurs!$R18*(E3_Consommateurs!$R21=H$42)*E3_Consommateurs!$R20</f>
        <v>0</v>
      </c>
      <c r="I59" s="19">
        <f>E3_Consommateurs!$R18*(E3_Consommateurs!$R21&lt;I$42)+E3_Consommateurs!$R18*(E3_Consommateurs!$R21=I$42)*E3_Consommateurs!$R20</f>
        <v>0</v>
      </c>
      <c r="J59" s="19">
        <f>E3_Consommateurs!$R18*(E3_Consommateurs!$R21&lt;J$42)+E3_Consommateurs!$R18*(E3_Consommateurs!$R21=J$42)*E3_Consommateurs!$R20</f>
        <v>0</v>
      </c>
      <c r="K59" s="19">
        <f>E3_Consommateurs!$R18*(E3_Consommateurs!$R21&lt;K$42)+E3_Consommateurs!$R18*(E3_Consommateurs!$R21=K$42)*E3_Consommateurs!$R20</f>
        <v>0</v>
      </c>
      <c r="L59" s="19">
        <f>E3_Consommateurs!$R18*(E3_Consommateurs!$R21&lt;L$42)+E3_Consommateurs!$R18*(E3_Consommateurs!$R21=L$42)*E3_Consommateurs!$R20</f>
        <v>0</v>
      </c>
      <c r="M59" s="19">
        <f>E3_Consommateurs!$R18*(E3_Consommateurs!$R21&lt;M$42)+E3_Consommateurs!$R18*(E3_Consommateurs!$R21=M$42)*E3_Consommateurs!$R20</f>
        <v>0</v>
      </c>
      <c r="N59" s="19">
        <f>E3_Consommateurs!$R18*(E3_Consommateurs!$R21&lt;N$42)+E3_Consommateurs!$R18*(E3_Consommateurs!$R21=N$42)*E3_Consommateurs!$R20</f>
        <v>0</v>
      </c>
      <c r="O59" s="19">
        <f>E3_Consommateurs!$R18*(E3_Consommateurs!$R21&lt;O$42)+E3_Consommateurs!$R18*(E3_Consommateurs!$R21=O$42)*E3_Consommateurs!$R20</f>
        <v>0</v>
      </c>
      <c r="P59" s="19">
        <f>E3_Consommateurs!$R18*(E3_Consommateurs!$R21&lt;P$42)+E3_Consommateurs!$R18*(E3_Consommateurs!$R21=P$42)*E3_Consommateurs!$R20</f>
        <v>0</v>
      </c>
      <c r="Q59" s="19">
        <f>E3_Consommateurs!$R18*(E3_Consommateurs!$R21&lt;Q$42)+E3_Consommateurs!$R18*(E3_Consommateurs!$R21=Q$42)*E3_Consommateurs!$R20</f>
        <v>0</v>
      </c>
      <c r="R59" s="19">
        <f>E3_Consommateurs!$R18*(E3_Consommateurs!$R21&lt;R$42)+E3_Consommateurs!$R18*(E3_Consommateurs!$R21=R$42)*E3_Consommateurs!$R20</f>
        <v>0</v>
      </c>
      <c r="S59" s="19">
        <f>E3_Consommateurs!$R18*(E3_Consommateurs!$R21&lt;S$42)+E3_Consommateurs!$R18*(E3_Consommateurs!$R21=S$42)*E3_Consommateurs!$R20</f>
        <v>0</v>
      </c>
    </row>
    <row r="60" spans="1:23" x14ac:dyDescent="0.2">
      <c r="B60" s="16" t="s">
        <v>539</v>
      </c>
      <c r="C60" s="16"/>
      <c r="D60" s="16"/>
      <c r="E60" s="16"/>
      <c r="F60" s="16"/>
      <c r="G60" s="16"/>
      <c r="H60" s="16"/>
      <c r="I60" s="16"/>
      <c r="J60" s="16"/>
      <c r="K60" s="16"/>
      <c r="L60" s="16"/>
      <c r="M60" s="16"/>
      <c r="N60" s="16"/>
      <c r="O60" s="16"/>
      <c r="P60" s="16"/>
      <c r="Q60" s="16"/>
      <c r="R60" s="16"/>
      <c r="S60" s="16"/>
      <c r="T60" s="26"/>
      <c r="U60" s="26"/>
      <c r="V60" s="26"/>
      <c r="W60" s="26"/>
    </row>
    <row r="61" spans="1:23" x14ac:dyDescent="0.2">
      <c r="A61" s="3">
        <v>922</v>
      </c>
      <c r="B61" s="27" t="s">
        <v>540</v>
      </c>
      <c r="C61" s="275" t="s">
        <v>538</v>
      </c>
      <c r="D61" s="19">
        <f>VLOOKUP('A2_Données VAN'!D42,B1_Calculs!$B$36:$C$60,2)*Eing_Spez_Stromverbrauch/100</f>
        <v>2.7777777777777777</v>
      </c>
      <c r="E61" s="19">
        <f>VLOOKUP('A2_Données VAN'!E42,B1_Calculs!$B$36:$C$60,2)*Eing_Spez_Stromverbrauch/100</f>
        <v>19.03</v>
      </c>
      <c r="F61" s="19">
        <f>VLOOKUP('A2_Données VAN'!F42,B1_Calculs!$B$36:$C$60,2)*Eing_Spez_Stromverbrauch/100</f>
        <v>39.530700000000003</v>
      </c>
      <c r="G61" s="19">
        <f>VLOOKUP('A2_Données VAN'!G42,B1_Calculs!$B$36:$C$60,2)*Eing_Spez_Stromverbrauch/100</f>
        <v>40.321314000000001</v>
      </c>
      <c r="H61" s="19">
        <f>VLOOKUP('A2_Données VAN'!H42,B1_Calculs!$B$36:$C$60,2)*Eing_Spez_Stromverbrauch/100</f>
        <v>39.918100860000003</v>
      </c>
      <c r="I61" s="19">
        <f>VLOOKUP('A2_Données VAN'!I42,B1_Calculs!$B$36:$C$60,2)*Eing_Spez_Stromverbrauch/100</f>
        <v>39.5189198514</v>
      </c>
      <c r="J61" s="19">
        <f>VLOOKUP('A2_Données VAN'!J42,B1_Calculs!$B$36:$C$60,2)*Eing_Spez_Stromverbrauch/100</f>
        <v>39.123730652885996</v>
      </c>
      <c r="K61" s="19">
        <f>VLOOKUP('A2_Données VAN'!K42,B1_Calculs!$B$36:$C$60,2)*Eing_Spez_Stromverbrauch/100</f>
        <v>38.732493346357138</v>
      </c>
      <c r="L61" s="19">
        <f>VLOOKUP('A2_Données VAN'!L42,B1_Calculs!$B$36:$C$60,2)*Eing_Spez_Stromverbrauch/100</f>
        <v>38.345168412893564</v>
      </c>
      <c r="M61" s="19">
        <f>VLOOKUP('A2_Données VAN'!M42,B1_Calculs!$B$36:$C$60,2)*Eing_Spez_Stromverbrauch/100</f>
        <v>37.961716728764628</v>
      </c>
      <c r="N61" s="19">
        <f>VLOOKUP('A2_Données VAN'!N42,B1_Calculs!$B$36:$C$60,2)*Eing_Spez_Stromverbrauch/100</f>
        <v>37.58209956147698</v>
      </c>
      <c r="O61" s="19">
        <f>VLOOKUP('A2_Données VAN'!O42,B1_Calculs!$B$36:$C$60,2)*Eing_Spez_Stromverbrauch/100</f>
        <v>37.206278565862213</v>
      </c>
      <c r="P61" s="19">
        <f>VLOOKUP('A2_Données VAN'!P42,B1_Calculs!$B$36:$C$60,2)*Eing_Spez_Stromverbrauch/100</f>
        <v>36.834215780203593</v>
      </c>
      <c r="Q61" s="19">
        <f>VLOOKUP('A2_Données VAN'!Q42,B1_Calculs!$B$36:$C$60,2)*Eing_Spez_Stromverbrauch/100</f>
        <v>36.465873622401553</v>
      </c>
      <c r="R61" s="19">
        <f>VLOOKUP('A2_Données VAN'!R42,B1_Calculs!$B$36:$C$60,2)*Eing_Spez_Stromverbrauch/100</f>
        <v>36.101214886177537</v>
      </c>
      <c r="S61" s="19">
        <f>VLOOKUP('A2_Données VAN'!S42,B1_Calculs!$B$36:$C$60,2)*Eing_Spez_Stromverbrauch/100</f>
        <v>35.740202737315755</v>
      </c>
    </row>
    <row r="62" spans="1:23" x14ac:dyDescent="0.2">
      <c r="B62" s="14" t="s">
        <v>541</v>
      </c>
      <c r="C62" s="14"/>
      <c r="D62" s="14">
        <f>Eing_Beginnjahr</f>
        <v>2022</v>
      </c>
      <c r="E62" s="14">
        <f>D62+1</f>
        <v>2023</v>
      </c>
      <c r="F62" s="14">
        <f t="shared" ref="F62:U62" si="3">E62+1</f>
        <v>2024</v>
      </c>
      <c r="G62" s="14">
        <f t="shared" si="3"/>
        <v>2025</v>
      </c>
      <c r="H62" s="14">
        <f t="shared" si="3"/>
        <v>2026</v>
      </c>
      <c r="I62" s="14">
        <f t="shared" si="3"/>
        <v>2027</v>
      </c>
      <c r="J62" s="14">
        <f t="shared" si="3"/>
        <v>2028</v>
      </c>
      <c r="K62" s="14">
        <f t="shared" si="3"/>
        <v>2029</v>
      </c>
      <c r="L62" s="14">
        <f t="shared" si="3"/>
        <v>2030</v>
      </c>
      <c r="M62" s="14">
        <f t="shared" si="3"/>
        <v>2031</v>
      </c>
      <c r="N62" s="14">
        <f t="shared" si="3"/>
        <v>2032</v>
      </c>
      <c r="O62" s="14">
        <f t="shared" si="3"/>
        <v>2033</v>
      </c>
      <c r="P62" s="14">
        <f t="shared" si="3"/>
        <v>2034</v>
      </c>
      <c r="Q62" s="14">
        <f t="shared" si="3"/>
        <v>2035</v>
      </c>
      <c r="R62" s="14">
        <f t="shared" si="3"/>
        <v>2036</v>
      </c>
      <c r="S62" s="14">
        <f t="shared" si="3"/>
        <v>2037</v>
      </c>
      <c r="T62" s="14">
        <f t="shared" si="3"/>
        <v>2038</v>
      </c>
      <c r="U62" s="14">
        <f t="shared" si="3"/>
        <v>2039</v>
      </c>
      <c r="V62" s="26">
        <f t="shared" ref="V62" si="4">U62+1</f>
        <v>2040</v>
      </c>
    </row>
    <row r="63" spans="1:23" x14ac:dyDescent="0.2">
      <c r="B63" s="16" t="s">
        <v>477</v>
      </c>
      <c r="C63" s="16"/>
      <c r="D63" s="16"/>
      <c r="E63" s="16"/>
      <c r="F63" s="16"/>
      <c r="G63" s="16"/>
      <c r="H63" s="16"/>
      <c r="I63" s="16"/>
      <c r="J63" s="16"/>
      <c r="K63" s="16"/>
      <c r="L63" s="16"/>
      <c r="M63" s="16"/>
      <c r="N63" s="16"/>
      <c r="O63" s="16"/>
      <c r="P63" s="16"/>
      <c r="Q63" s="16"/>
      <c r="R63" s="16"/>
      <c r="S63" s="16"/>
      <c r="T63" s="16"/>
      <c r="U63" s="16"/>
      <c r="V63" s="26"/>
    </row>
    <row r="64" spans="1:23" x14ac:dyDescent="0.2">
      <c r="B64" s="28" t="s">
        <v>542</v>
      </c>
      <c r="C64" s="27" t="s">
        <v>518</v>
      </c>
      <c r="D64" s="29"/>
      <c r="E64" s="29"/>
      <c r="F64" s="29"/>
      <c r="G64" s="29"/>
      <c r="H64" s="29"/>
      <c r="I64" s="29"/>
      <c r="J64" s="29"/>
      <c r="K64" s="29"/>
      <c r="L64" s="29"/>
      <c r="M64" s="29"/>
      <c r="N64" s="29"/>
      <c r="O64" s="29"/>
      <c r="P64" s="29"/>
      <c r="Q64" s="29"/>
      <c r="R64" s="29"/>
      <c r="S64" s="29"/>
      <c r="T64" s="29"/>
      <c r="U64" s="29"/>
      <c r="V64" s="29"/>
    </row>
    <row r="65" spans="1:22" x14ac:dyDescent="0.2">
      <c r="A65" s="3">
        <v>923</v>
      </c>
      <c r="B65" s="30" t="s">
        <v>543</v>
      </c>
      <c r="C65" s="27" t="s">
        <v>518</v>
      </c>
      <c r="D65" s="19">
        <f>(VLOOKUP('A2_Données VAN'!D$62,B1_Calculs!$B$36:$Z$60,23)*SUM('E1_Données de projet'!$D$52,'E1_Données de projet'!$D$54,'E1_Données de projet'!$D$55)/Gesamtinvestition)</f>
        <v>143000</v>
      </c>
      <c r="E65" s="19">
        <f>(VLOOKUP('A2_Données VAN'!E$62,B1_Calculs!$B$36:$Z$60,23)*SUM('E1_Données de projet'!$D$52,'E1_Données de projet'!$D$54,'E1_Données de projet'!$D$55)/Gesamtinvestition)</f>
        <v>214500</v>
      </c>
      <c r="F65" s="19">
        <f>(VLOOKUP('A2_Données VAN'!F$62,B1_Calculs!$B$36:$Z$60,23)*SUM('E1_Données de projet'!$D$52,'E1_Données de projet'!$D$54,'E1_Données de projet'!$D$55)/Gesamtinvestition)</f>
        <v>357500</v>
      </c>
      <c r="G65" s="19">
        <f>(VLOOKUP('A2_Données VAN'!G$62,B1_Calculs!$B$36:$Z$60,23)*SUM('E1_Données de projet'!$D$52,'E1_Données de projet'!$D$54,'E1_Données de projet'!$D$55)/Gesamtinvestition)</f>
        <v>0</v>
      </c>
      <c r="H65" s="19">
        <f>(VLOOKUP('A2_Données VAN'!H$62,B1_Calculs!$B$36:$Z$60,23)*SUM('E1_Données de projet'!$D$52,'E1_Données de projet'!$D$54,'E1_Données de projet'!$D$55)/Gesamtinvestition)</f>
        <v>0</v>
      </c>
      <c r="I65" s="19">
        <f>(VLOOKUP('A2_Données VAN'!I$62,B1_Calculs!$B$36:$Z$60,23)*SUM('E1_Données de projet'!$D$52,'E1_Données de projet'!$D$54,'E1_Données de projet'!$D$55)/Gesamtinvestition)</f>
        <v>0</v>
      </c>
      <c r="J65" s="19">
        <f>(VLOOKUP('A2_Données VAN'!J$62,B1_Calculs!$B$36:$Z$60,23)*SUM('E1_Données de projet'!$D$52,'E1_Données de projet'!$D$54,'E1_Données de projet'!$D$55)/Gesamtinvestition)</f>
        <v>0</v>
      </c>
      <c r="K65" s="19">
        <f>(VLOOKUP('A2_Données VAN'!K$62,B1_Calculs!$B$36:$Z$60,23)*SUM('E1_Données de projet'!$D$52,'E1_Données de projet'!$D$54,'E1_Données de projet'!$D$55)/Gesamtinvestition)</f>
        <v>0</v>
      </c>
      <c r="L65" s="19">
        <f>(VLOOKUP('A2_Données VAN'!L$62,B1_Calculs!$B$36:$Z$60,23)*SUM('E1_Données de projet'!$D$52,'E1_Données de projet'!$D$54,'E1_Données de projet'!$D$55)/Gesamtinvestition)</f>
        <v>0</v>
      </c>
      <c r="M65" s="19">
        <f>(VLOOKUP('A2_Données VAN'!M$62,B1_Calculs!$B$36:$Z$60,23)*SUM('E1_Données de projet'!$D$52,'E1_Données de projet'!$D$54,'E1_Données de projet'!$D$55)/Gesamtinvestition)</f>
        <v>0</v>
      </c>
      <c r="N65" s="19">
        <f>(VLOOKUP('A2_Données VAN'!N$62,B1_Calculs!$B$36:$Z$60,23)*SUM('E1_Données de projet'!$D$52,'E1_Données de projet'!$D$54,'E1_Données de projet'!$D$55)/Gesamtinvestition)</f>
        <v>0</v>
      </c>
      <c r="O65" s="19">
        <f>(VLOOKUP('A2_Données VAN'!O$62,B1_Calculs!$B$36:$Z$60,23)*SUM('E1_Données de projet'!$D$52,'E1_Données de projet'!$D$54,'E1_Données de projet'!$D$55)/Gesamtinvestition)</f>
        <v>0</v>
      </c>
      <c r="P65" s="19">
        <f>(VLOOKUP('A2_Données VAN'!P$62,B1_Calculs!$B$36:$Z$60,23)*SUM('E1_Données de projet'!$D$52,'E1_Données de projet'!$D$54,'E1_Données de projet'!$D$55)/Gesamtinvestition)</f>
        <v>0</v>
      </c>
      <c r="Q65" s="19">
        <f>(VLOOKUP('A2_Données VAN'!Q$62,B1_Calculs!$B$36:$Z$60,23)*SUM('E1_Données de projet'!$D$52,'E1_Données de projet'!$D$54,'E1_Données de projet'!$D$55)/Gesamtinvestition)</f>
        <v>0</v>
      </c>
      <c r="R65" s="19">
        <f>(VLOOKUP('A2_Données VAN'!R$62,B1_Calculs!$B$36:$Z$60,23)*SUM('E1_Données de projet'!$D$52,'E1_Données de projet'!$D$54,'E1_Données de projet'!$D$55)/Gesamtinvestition)</f>
        <v>0</v>
      </c>
      <c r="S65" s="19">
        <f>(VLOOKUP('A2_Données VAN'!S$62,B1_Calculs!$B$36:$Z$60,23)*SUM('E1_Données de projet'!$D$52,'E1_Données de projet'!$D$54,'E1_Données de projet'!$D$55)/Gesamtinvestition)</f>
        <v>0</v>
      </c>
      <c r="T65" s="19">
        <f>(VLOOKUP('A2_Données VAN'!T$62,B1_Calculs!$B$36:$Z$60,23)*SUM('E1_Données de projet'!$D$52,'E1_Données de projet'!$D$54,'E1_Données de projet'!$D$55)/Gesamtinvestition)</f>
        <v>0</v>
      </c>
      <c r="U65" s="19">
        <f>(VLOOKUP('A2_Données VAN'!U$62,B1_Calculs!$B$36:$Z$60,23)*SUM('E1_Données de projet'!$D$52,'E1_Données de projet'!$D$54,'E1_Données de projet'!$D$55)/Gesamtinvestition)</f>
        <v>10154.040404765125</v>
      </c>
      <c r="V65" s="19">
        <f>(VLOOKUP('A2_Données VAN'!V$62,B1_Calculs!$B$36:$Z$60,23)*SUM('E1_Données de projet'!$D$52,'E1_Données de projet'!$D$54,'E1_Données de projet'!$D$55)/Gesamtinvestition)</f>
        <v>0</v>
      </c>
    </row>
    <row r="66" spans="1:22" x14ac:dyDescent="0.2">
      <c r="A66" s="3">
        <v>924</v>
      </c>
      <c r="B66" s="30" t="s">
        <v>544</v>
      </c>
      <c r="C66" s="27" t="s">
        <v>518</v>
      </c>
      <c r="D66" s="19">
        <f>(VLOOKUP('A2_Données VAN'!D$62,B1_Calculs!$B$36:$Z$60,23)-D65)</f>
        <v>184000</v>
      </c>
      <c r="E66" s="19">
        <f>(VLOOKUP('A2_Données VAN'!E$62,B1_Calculs!$B$36:$Z$60,23)-E65)</f>
        <v>276000</v>
      </c>
      <c r="F66" s="19">
        <f>(VLOOKUP('A2_Données VAN'!F$62,B1_Calculs!$B$36:$Z$60,23)-F65)</f>
        <v>460000</v>
      </c>
      <c r="G66" s="19">
        <f>(VLOOKUP('A2_Données VAN'!G$62,B1_Calculs!$B$36:$Z$60,23)-G65)</f>
        <v>0</v>
      </c>
      <c r="H66" s="19">
        <f>(VLOOKUP('A2_Données VAN'!H$62,B1_Calculs!$B$36:$Z$60,23)-H65)</f>
        <v>0</v>
      </c>
      <c r="I66" s="19">
        <f>(VLOOKUP('A2_Données VAN'!I$62,B1_Calculs!$B$36:$Z$60,23)-I65)</f>
        <v>0</v>
      </c>
      <c r="J66" s="19">
        <f>(VLOOKUP('A2_Données VAN'!J$62,B1_Calculs!$B$36:$Z$60,23)-J65)</f>
        <v>0</v>
      </c>
      <c r="K66" s="19">
        <f>(VLOOKUP('A2_Données VAN'!K$62,B1_Calculs!$B$36:$Z$60,23)-K65)</f>
        <v>0</v>
      </c>
      <c r="L66" s="19">
        <f>(VLOOKUP('A2_Données VAN'!L$62,B1_Calculs!$B$36:$Z$60,23)-L65)</f>
        <v>0</v>
      </c>
      <c r="M66" s="19">
        <f>(VLOOKUP('A2_Données VAN'!M$62,B1_Calculs!$B$36:$Z$60,23)-M65)</f>
        <v>0</v>
      </c>
      <c r="N66" s="19">
        <f>(VLOOKUP('A2_Données VAN'!N$62,B1_Calculs!$B$36:$Z$60,23)-N65)</f>
        <v>0</v>
      </c>
      <c r="O66" s="19">
        <f>(VLOOKUP('A2_Données VAN'!O$62,B1_Calculs!$B$36:$Z$60,23)-O65)</f>
        <v>0</v>
      </c>
      <c r="P66" s="19">
        <f>(VLOOKUP('A2_Données VAN'!P$62,B1_Calculs!$B$36:$Z$60,23)-P65)</f>
        <v>0</v>
      </c>
      <c r="Q66" s="19">
        <f>(VLOOKUP('A2_Données VAN'!Q$62,B1_Calculs!$B$36:$Z$60,23)-Q65)</f>
        <v>0</v>
      </c>
      <c r="R66" s="19">
        <f>(VLOOKUP('A2_Données VAN'!R$62,B1_Calculs!$B$36:$Z$60,23)-R65)</f>
        <v>0</v>
      </c>
      <c r="S66" s="19">
        <f>(VLOOKUP('A2_Données VAN'!S$62,B1_Calculs!$B$36:$Z$60,23)-S65)</f>
        <v>0</v>
      </c>
      <c r="T66" s="19">
        <f>(VLOOKUP('A2_Données VAN'!T$62,B1_Calculs!$B$36:$Z$60,23)-T65)</f>
        <v>0</v>
      </c>
      <c r="U66" s="19">
        <f>(VLOOKUP('A2_Données VAN'!U$62,B1_Calculs!$B$36:$Z$60,23)-U65)</f>
        <v>13065.338702634843</v>
      </c>
      <c r="V66" s="19">
        <f>(VLOOKUP('A2_Données VAN'!V$62,B1_Calculs!$B$36:$Z$60,23)-V65)</f>
        <v>0</v>
      </c>
    </row>
    <row r="67" spans="1:22" x14ac:dyDescent="0.2">
      <c r="B67" s="28" t="s">
        <v>545</v>
      </c>
      <c r="C67" s="27" t="s">
        <v>20</v>
      </c>
      <c r="D67" s="31" t="str">
        <f>IF(D62='E1_Données de projet'!$D$22+15,-VLOOKUP(D62,B1_Calculs!$B$36:$AH$60,31),"")</f>
        <v/>
      </c>
      <c r="E67" s="31" t="str">
        <f>IF(E62='E1_Données de projet'!$D$22+15,-VLOOKUP(E62,B1_Calculs!$B$36:$AH$60,31),"")</f>
        <v/>
      </c>
      <c r="F67" s="31" t="str">
        <f>IF(F62='E1_Données de projet'!$D$22+15,-VLOOKUP(F62,B1_Calculs!$B$36:$AH$60,31),"")</f>
        <v/>
      </c>
      <c r="G67" s="31" t="str">
        <f>IF(G62='E1_Données de projet'!$D$22+15,-VLOOKUP(G62,B1_Calculs!$B$36:$AH$60,31),"")</f>
        <v/>
      </c>
      <c r="H67" s="31" t="str">
        <f>IF(H62='E1_Données de projet'!$D$22+15,-VLOOKUP(H62,B1_Calculs!$B$36:$AH$60,31),"")</f>
        <v/>
      </c>
      <c r="I67" s="31" t="str">
        <f>IF(I62='E1_Données de projet'!$D$22+15,-VLOOKUP(I62,B1_Calculs!$B$36:$AH$60,31),"")</f>
        <v/>
      </c>
      <c r="J67" s="31" t="str">
        <f>IF(J62='E1_Données de projet'!$D$22+15,-VLOOKUP(J62,B1_Calculs!$B$36:$AH$60,31),"")</f>
        <v/>
      </c>
      <c r="K67" s="31" t="str">
        <f>IF(K62='E1_Données de projet'!$D$22+15,-VLOOKUP(K62,B1_Calculs!$B$36:$AH$60,31),"")</f>
        <v/>
      </c>
      <c r="L67" s="31" t="str">
        <f>IF(L62='E1_Données de projet'!$D$22+15,-VLOOKUP(L62,B1_Calculs!$B$36:$AH$60,31),"")</f>
        <v/>
      </c>
      <c r="M67" s="31" t="str">
        <f>IF(M62='E1_Données de projet'!$D$22+15,-VLOOKUP(M62,B1_Calculs!$B$36:$AH$60,31),"")</f>
        <v/>
      </c>
      <c r="N67" s="31" t="str">
        <f>IF(N62='E1_Données de projet'!$D$22+15,-VLOOKUP(N62,B1_Calculs!$B$36:$AH$60,31),"")</f>
        <v/>
      </c>
      <c r="O67" s="31" t="str">
        <f>IF(O62='E1_Données de projet'!$D$22+15,-VLOOKUP(O62,B1_Calculs!$B$36:$AH$60,31),"")</f>
        <v/>
      </c>
      <c r="P67" s="31" t="str">
        <f>IF(P62='E1_Données de projet'!$D$22+15,-VLOOKUP(P62,B1_Calculs!$B$36:$AH$60,31),"")</f>
        <v/>
      </c>
      <c r="Q67" s="31" t="str">
        <f>IF(Q62='E1_Données de projet'!$D$22+15,-VLOOKUP(Q62,B1_Calculs!$B$36:$AH$60,31),"")</f>
        <v/>
      </c>
      <c r="R67" s="31" t="str">
        <f>IF(R62='E1_Données de projet'!$D$22+15,-VLOOKUP(R62,B1_Calculs!$B$36:$AH$60,31),"")</f>
        <v/>
      </c>
      <c r="S67" s="31" t="str">
        <f>IF(S62='E1_Données de projet'!$D$22+15,-VLOOKUP(S62,B1_Calculs!$B$36:$AH$60,31),"")</f>
        <v/>
      </c>
      <c r="T67" s="31" t="str">
        <f>IF(T62='E1_Données de projet'!$D$22+15,-VLOOKUP(T62,B1_Calculs!$B$36:$AH$60,31),"")</f>
        <v/>
      </c>
      <c r="U67" s="31">
        <f>IF(U62='E1_Données de projet'!$D$22+15,-VLOOKUP(U62,B1_Calculs!$B$36:$AH$60,31),"")</f>
        <v>-741671.42050024029</v>
      </c>
      <c r="V67" s="31" t="str">
        <f>IF(V62='E1_Données de projet'!$D$22+15,-VLOOKUP(V62,B1_Calculs!$B$36:$AH$60,31),"")</f>
        <v/>
      </c>
    </row>
    <row r="68" spans="1:22" x14ac:dyDescent="0.2">
      <c r="B68" s="28" t="s">
        <v>546</v>
      </c>
      <c r="C68" s="27" t="s">
        <v>518</v>
      </c>
      <c r="D68" s="29"/>
      <c r="E68" s="29"/>
      <c r="F68" s="29"/>
      <c r="G68" s="29"/>
      <c r="H68" s="29"/>
      <c r="I68" s="29"/>
      <c r="J68" s="29"/>
      <c r="K68" s="29"/>
      <c r="L68" s="29"/>
      <c r="M68" s="29"/>
      <c r="N68" s="29"/>
      <c r="O68" s="29"/>
      <c r="P68" s="29"/>
      <c r="Q68" s="29"/>
      <c r="R68" s="29"/>
      <c r="S68" s="29"/>
      <c r="T68" s="29"/>
      <c r="U68" s="29"/>
      <c r="V68" s="29"/>
    </row>
    <row r="69" spans="1:22" x14ac:dyDescent="0.2">
      <c r="A69" s="3">
        <v>925</v>
      </c>
      <c r="B69" s="30" t="s">
        <v>547</v>
      </c>
      <c r="C69" s="27" t="s">
        <v>518</v>
      </c>
      <c r="D69" s="19">
        <f>VLOOKUP('A2_Données VAN'!D$62,B1_Calculs!$B$36:$N$60,7)+VLOOKUP('A2_Données VAN'!D$62,B1_Calculs!$B$36:$N$60,8)+VLOOKUP('A2_Données VAN'!D$62,B1_Calculs!$B$36:$N$60,9)</f>
        <v>17400</v>
      </c>
      <c r="E69" s="19">
        <f>VLOOKUP('A2_Données VAN'!E$62,B1_Calculs!$B$36:$N$60,7)+VLOOKUP('A2_Données VAN'!E$62,B1_Calculs!$B$36:$N$60,8)+VLOOKUP('A2_Données VAN'!E$62,B1_Calculs!$B$36:$N$60,9)</f>
        <v>17574</v>
      </c>
      <c r="F69" s="19">
        <f>VLOOKUP('A2_Données VAN'!F$62,B1_Calculs!$B$36:$N$60,7)+VLOOKUP('A2_Données VAN'!F$62,B1_Calculs!$B$36:$N$60,8)+VLOOKUP('A2_Données VAN'!F$62,B1_Calculs!$B$36:$N$60,9)</f>
        <v>60491.93</v>
      </c>
      <c r="G69" s="19">
        <f>VLOOKUP('A2_Données VAN'!G$62,B1_Calculs!$B$36:$N$60,7)+VLOOKUP('A2_Données VAN'!G$62,B1_Calculs!$B$36:$N$60,8)+VLOOKUP('A2_Données VAN'!G$62,B1_Calculs!$B$36:$N$60,9)</f>
        <v>61096.849299999994</v>
      </c>
      <c r="H69" s="19">
        <f>VLOOKUP('A2_Données VAN'!H$62,B1_Calculs!$B$36:$N$60,7)+VLOOKUP('A2_Données VAN'!H$62,B1_Calculs!$B$36:$N$60,8)+VLOOKUP('A2_Données VAN'!H$62,B1_Calculs!$B$36:$N$60,9)</f>
        <v>61707.817792999995</v>
      </c>
      <c r="I69" s="19">
        <f>VLOOKUP('A2_Données VAN'!I$62,B1_Calculs!$B$36:$N$60,7)+VLOOKUP('A2_Données VAN'!I$62,B1_Calculs!$B$36:$N$60,8)+VLOOKUP('A2_Données VAN'!I$62,B1_Calculs!$B$36:$N$60,9)</f>
        <v>62324.895970929996</v>
      </c>
      <c r="J69" s="19">
        <f>VLOOKUP('A2_Données VAN'!J$62,B1_Calculs!$B$36:$N$60,7)+VLOOKUP('A2_Données VAN'!J$62,B1_Calculs!$B$36:$N$60,8)+VLOOKUP('A2_Données VAN'!J$62,B1_Calculs!$B$36:$N$60,9)</f>
        <v>62948.144930639304</v>
      </c>
      <c r="K69" s="19">
        <f>VLOOKUP('A2_Données VAN'!K$62,B1_Calculs!$B$36:$N$60,7)+VLOOKUP('A2_Données VAN'!K$62,B1_Calculs!$B$36:$N$60,8)+VLOOKUP('A2_Données VAN'!K$62,B1_Calculs!$B$36:$N$60,9)</f>
        <v>63577.626379945679</v>
      </c>
      <c r="L69" s="19">
        <f>VLOOKUP('A2_Données VAN'!L$62,B1_Calculs!$B$36:$N$60,7)+VLOOKUP('A2_Données VAN'!L$62,B1_Calculs!$B$36:$N$60,8)+VLOOKUP('A2_Données VAN'!L$62,B1_Calculs!$B$36:$N$60,9)</f>
        <v>64213.402643745154</v>
      </c>
      <c r="M69" s="19">
        <f>VLOOKUP('A2_Données VAN'!M$62,B1_Calculs!$B$36:$N$60,7)+VLOOKUP('A2_Données VAN'!M$62,B1_Calculs!$B$36:$N$60,8)+VLOOKUP('A2_Données VAN'!M$62,B1_Calculs!$B$36:$N$60,9)</f>
        <v>64855.536670182621</v>
      </c>
      <c r="N69" s="19">
        <f>VLOOKUP('A2_Données VAN'!N$62,B1_Calculs!$B$36:$N$60,7)+VLOOKUP('A2_Données VAN'!N$62,B1_Calculs!$B$36:$N$60,8)+VLOOKUP('A2_Données VAN'!N$62,B1_Calculs!$B$36:$N$60,9)</f>
        <v>65504.092036884438</v>
      </c>
      <c r="O69" s="19">
        <f>VLOOKUP('A2_Données VAN'!O$62,B1_Calculs!$B$36:$N$60,7)+VLOOKUP('A2_Données VAN'!O$62,B1_Calculs!$B$36:$N$60,8)+VLOOKUP('A2_Données VAN'!O$62,B1_Calculs!$B$36:$N$60,9)</f>
        <v>66159.13295725327</v>
      </c>
      <c r="P69" s="19">
        <f>VLOOKUP('A2_Données VAN'!P$62,B1_Calculs!$B$36:$N$60,7)+VLOOKUP('A2_Données VAN'!P$62,B1_Calculs!$B$36:$N$60,8)+VLOOKUP('A2_Données VAN'!P$62,B1_Calculs!$B$36:$N$60,9)</f>
        <v>66820.724286825804</v>
      </c>
      <c r="Q69" s="19">
        <f>VLOOKUP('A2_Données VAN'!Q$62,B1_Calculs!$B$36:$N$60,7)+VLOOKUP('A2_Données VAN'!Q$62,B1_Calculs!$B$36:$N$60,8)+VLOOKUP('A2_Données VAN'!Q$62,B1_Calculs!$B$36:$N$60,9)</f>
        <v>67488.931529694062</v>
      </c>
      <c r="R69" s="19">
        <f>VLOOKUP('A2_Données VAN'!R$62,B1_Calculs!$B$36:$N$60,7)+VLOOKUP('A2_Données VAN'!R$62,B1_Calculs!$B$36:$N$60,8)+VLOOKUP('A2_Données VAN'!R$62,B1_Calculs!$B$36:$N$60,9)</f>
        <v>68163.820844991016</v>
      </c>
      <c r="S69" s="19">
        <f>VLOOKUP('A2_Données VAN'!S$62,B1_Calculs!$B$36:$N$60,7)+VLOOKUP('A2_Données VAN'!S$62,B1_Calculs!$B$36:$N$60,8)+VLOOKUP('A2_Données VAN'!S$62,B1_Calculs!$B$36:$N$60,9)</f>
        <v>68845.459053440907</v>
      </c>
      <c r="T69" s="19">
        <f>VLOOKUP('A2_Données VAN'!T$62,B1_Calculs!$B$36:$N$60,7)+VLOOKUP('A2_Données VAN'!T$62,B1_Calculs!$B$36:$N$60,8)+VLOOKUP('A2_Données VAN'!T$62,B1_Calculs!$B$36:$N$60,9)</f>
        <v>69533.913643975335</v>
      </c>
      <c r="U69" s="19">
        <f>VLOOKUP('A2_Données VAN'!U$62,B1_Calculs!$B$36:$N$60,7)+VLOOKUP('A2_Données VAN'!U$62,B1_Calculs!$B$36:$N$60,8)+VLOOKUP('A2_Données VAN'!U$62,B1_Calculs!$B$36:$N$60,9)</f>
        <v>70229.252780415103</v>
      </c>
      <c r="V69" s="19">
        <f>VLOOKUP('A2_Données VAN'!V$62,B1_Calculs!$B$36:$N$60,7)+VLOOKUP('A2_Données VAN'!V$62,B1_Calculs!$B$36:$N$60,8)+VLOOKUP('A2_Données VAN'!V$62,B1_Calculs!$B$36:$N$60,9)</f>
        <v>70931.545308219254</v>
      </c>
    </row>
    <row r="70" spans="1:22" x14ac:dyDescent="0.2">
      <c r="A70" s="3">
        <v>926</v>
      </c>
      <c r="B70" s="32" t="s">
        <v>548</v>
      </c>
      <c r="C70" s="33" t="s">
        <v>518</v>
      </c>
      <c r="D70" s="19">
        <f>VLOOKUP('A2_Données VAN'!D$62,B1_Calculs!$B$36:$N$60,4)+VLOOKUP('A2_Données VAN'!D$62,B1_Calculs!$B$36:$N$60,5)+VLOOKUP('A2_Données VAN'!D$62,B1_Calculs!$B$36:$N$60,6)</f>
        <v>0</v>
      </c>
      <c r="E70" s="19">
        <f>VLOOKUP('A2_Données VAN'!E$62,B1_Calculs!$B$36:$N$60,4)+VLOOKUP('A2_Données VAN'!E$62,B1_Calculs!$B$36:$N$60,5)+VLOOKUP('A2_Données VAN'!E$62,B1_Calculs!$B$36:$N$60,6)</f>
        <v>0</v>
      </c>
      <c r="F70" s="19">
        <f>VLOOKUP('A2_Données VAN'!F$62,B1_Calculs!$B$36:$N$60,4)+VLOOKUP('A2_Données VAN'!F$62,B1_Calculs!$B$36:$N$60,5)+VLOOKUP('A2_Données VAN'!F$62,B1_Calculs!$B$36:$N$60,6)</f>
        <v>9173.8159722222226</v>
      </c>
      <c r="G70" s="19">
        <f>VLOOKUP('A2_Données VAN'!G$62,B1_Calculs!$B$36:$N$60,4)+VLOOKUP('A2_Données VAN'!G$62,B1_Calculs!$B$36:$N$60,5)+VLOOKUP('A2_Données VAN'!G$62,B1_Calculs!$B$36:$N$60,6)</f>
        <v>63476.458247125003</v>
      </c>
      <c r="H70" s="19">
        <f>VLOOKUP('A2_Données VAN'!H$62,B1_Calculs!$B$36:$N$60,4)+VLOOKUP('A2_Données VAN'!H$62,B1_Calculs!$B$36:$N$60,5)+VLOOKUP('A2_Données VAN'!H$62,B1_Calculs!$B$36:$N$60,6)</f>
        <v>133177.16848712141</v>
      </c>
      <c r="I70" s="19">
        <f>VLOOKUP('A2_Données VAN'!I$62,B1_Calculs!$B$36:$N$60,4)+VLOOKUP('A2_Données VAN'!I$62,B1_Calculs!$B$36:$N$60,5)+VLOOKUP('A2_Données VAN'!I$62,B1_Calculs!$B$36:$N$60,6)</f>
        <v>137199.1189754325</v>
      </c>
      <c r="J70" s="19">
        <f>VLOOKUP('A2_Données VAN'!J$62,B1_Calculs!$B$36:$N$60,4)+VLOOKUP('A2_Données VAN'!J$62,B1_Calculs!$B$36:$N$60,5)+VLOOKUP('A2_Données VAN'!J$62,B1_Calculs!$B$36:$N$60,6)</f>
        <v>137185.39906353498</v>
      </c>
      <c r="K70" s="19">
        <f>VLOOKUP('A2_Données VAN'!K$62,B1_Calculs!$B$36:$N$60,4)+VLOOKUP('A2_Données VAN'!K$62,B1_Calculs!$B$36:$N$60,5)+VLOOKUP('A2_Données VAN'!K$62,B1_Calculs!$B$36:$N$60,6)</f>
        <v>137171.68052362857</v>
      </c>
      <c r="L70" s="19">
        <f>VLOOKUP('A2_Données VAN'!L$62,B1_Calculs!$B$36:$N$60,4)+VLOOKUP('A2_Données VAN'!L$62,B1_Calculs!$B$36:$N$60,5)+VLOOKUP('A2_Données VAN'!L$62,B1_Calculs!$B$36:$N$60,6)</f>
        <v>137157.96335557621</v>
      </c>
      <c r="M70" s="19">
        <f>VLOOKUP('A2_Données VAN'!M$62,B1_Calculs!$B$36:$N$60,4)+VLOOKUP('A2_Données VAN'!M$62,B1_Calculs!$B$36:$N$60,5)+VLOOKUP('A2_Données VAN'!M$62,B1_Calculs!$B$36:$N$60,6)</f>
        <v>137144.2475592407</v>
      </c>
      <c r="N70" s="19">
        <f>VLOOKUP('A2_Données VAN'!N$62,B1_Calculs!$B$36:$N$60,4)+VLOOKUP('A2_Données VAN'!N$62,B1_Calculs!$B$36:$N$60,5)+VLOOKUP('A2_Données VAN'!N$62,B1_Calculs!$B$36:$N$60,6)</f>
        <v>137130.53313448475</v>
      </c>
      <c r="O70" s="19">
        <f>VLOOKUP('A2_Données VAN'!O$62,B1_Calculs!$B$36:$N$60,4)+VLOOKUP('A2_Données VAN'!O$62,B1_Calculs!$B$36:$N$60,5)+VLOOKUP('A2_Données VAN'!O$62,B1_Calculs!$B$36:$N$60,6)</f>
        <v>137116.82008117129</v>
      </c>
      <c r="P70" s="19">
        <f>VLOOKUP('A2_Données VAN'!P$62,B1_Calculs!$B$36:$N$60,4)+VLOOKUP('A2_Données VAN'!P$62,B1_Calculs!$B$36:$N$60,5)+VLOOKUP('A2_Données VAN'!P$62,B1_Calculs!$B$36:$N$60,6)</f>
        <v>137103.10839916315</v>
      </c>
      <c r="Q70" s="19">
        <f>VLOOKUP('A2_Données VAN'!Q$62,B1_Calculs!$B$36:$N$60,4)+VLOOKUP('A2_Données VAN'!Q$62,B1_Calculs!$B$36:$N$60,5)+VLOOKUP('A2_Données VAN'!Q$62,B1_Calculs!$B$36:$N$60,6)</f>
        <v>137089.39808832327</v>
      </c>
      <c r="R70" s="19">
        <f>VLOOKUP('A2_Données VAN'!R$62,B1_Calculs!$B$36:$N$60,4)+VLOOKUP('A2_Données VAN'!R$62,B1_Calculs!$B$36:$N$60,5)+VLOOKUP('A2_Données VAN'!R$62,B1_Calculs!$B$36:$N$60,6)</f>
        <v>137075.68914851444</v>
      </c>
      <c r="S70" s="19">
        <f>VLOOKUP('A2_Données VAN'!S$62,B1_Calculs!$B$36:$N$60,4)+VLOOKUP('A2_Données VAN'!S$62,B1_Calculs!$B$36:$N$60,5)+VLOOKUP('A2_Données VAN'!S$62,B1_Calculs!$B$36:$N$60,6)</f>
        <v>137061.98157959955</v>
      </c>
      <c r="T70" s="19">
        <f>VLOOKUP('A2_Données VAN'!T$62,B1_Calculs!$B$36:$N$60,4)+VLOOKUP('A2_Données VAN'!T$62,B1_Calculs!$B$36:$N$60,5)+VLOOKUP('A2_Données VAN'!T$62,B1_Calculs!$B$36:$N$60,6)</f>
        <v>137048.27538144164</v>
      </c>
      <c r="U70" s="19">
        <f>VLOOKUP('A2_Données VAN'!U$62,B1_Calculs!$B$36:$N$60,4)+VLOOKUP('A2_Données VAN'!U$62,B1_Calculs!$B$36:$N$60,5)+VLOOKUP('A2_Données VAN'!U$62,B1_Calculs!$B$36:$N$60,6)</f>
        <v>137034.5705539035</v>
      </c>
      <c r="V70" s="19">
        <f>VLOOKUP('A2_Données VAN'!V$62,B1_Calculs!$B$36:$N$60,4)+VLOOKUP('A2_Données VAN'!V$62,B1_Calculs!$B$36:$N$60,5)+VLOOKUP('A2_Données VAN'!V$62,B1_Calculs!$B$36:$N$60,6)</f>
        <v>137020.86709684812</v>
      </c>
    </row>
    <row r="71" spans="1:22" x14ac:dyDescent="0.2">
      <c r="B71" s="34" t="s">
        <v>549</v>
      </c>
      <c r="C71" s="27" t="s">
        <v>518</v>
      </c>
      <c r="D71" s="29"/>
      <c r="E71" s="29"/>
      <c r="F71" s="29"/>
      <c r="G71" s="29"/>
      <c r="H71" s="29"/>
      <c r="I71" s="29"/>
      <c r="J71" s="29"/>
      <c r="K71" s="29"/>
      <c r="L71" s="29"/>
      <c r="M71" s="29"/>
      <c r="N71" s="29"/>
      <c r="O71" s="29"/>
      <c r="P71" s="29"/>
      <c r="Q71" s="29"/>
      <c r="R71" s="29"/>
      <c r="S71" s="29"/>
      <c r="T71" s="29"/>
      <c r="U71" s="29"/>
      <c r="V71" s="29"/>
    </row>
    <row r="72" spans="1:22" x14ac:dyDescent="0.2">
      <c r="B72" s="27"/>
      <c r="C72" s="27"/>
      <c r="D72" s="35"/>
      <c r="E72" s="35"/>
      <c r="F72" s="35"/>
      <c r="G72" s="35"/>
      <c r="H72" s="35"/>
      <c r="I72" s="35"/>
      <c r="J72" s="35"/>
      <c r="K72" s="35"/>
      <c r="L72" s="35"/>
      <c r="M72" s="35"/>
      <c r="N72" s="35"/>
      <c r="O72" s="35"/>
      <c r="P72" s="35"/>
      <c r="Q72" s="35"/>
      <c r="R72" s="35"/>
      <c r="S72" s="35"/>
      <c r="T72" s="35"/>
      <c r="U72" s="35"/>
      <c r="V72" s="35"/>
    </row>
    <row r="73" spans="1:22" x14ac:dyDescent="0.2">
      <c r="B73" s="16" t="s">
        <v>550</v>
      </c>
      <c r="C73" s="16"/>
      <c r="D73" s="16"/>
      <c r="E73" s="16"/>
      <c r="F73" s="16"/>
      <c r="G73" s="16"/>
      <c r="H73" s="16"/>
      <c r="I73" s="16"/>
      <c r="J73" s="16"/>
      <c r="K73" s="16"/>
      <c r="L73" s="16"/>
      <c r="M73" s="16"/>
      <c r="N73" s="16"/>
      <c r="O73" s="16"/>
      <c r="P73" s="16"/>
      <c r="Q73" s="16"/>
      <c r="R73" s="16"/>
      <c r="S73" s="16"/>
      <c r="T73" s="16"/>
      <c r="U73" s="16"/>
      <c r="V73" s="16"/>
    </row>
    <row r="74" spans="1:22" x14ac:dyDescent="0.2">
      <c r="A74" s="3">
        <v>927</v>
      </c>
      <c r="B74" s="27" t="s">
        <v>551</v>
      </c>
      <c r="C74" s="27" t="s">
        <v>518</v>
      </c>
      <c r="D74" s="19">
        <f>VLOOKUP('A2_Données VAN'!D$62,B1_Calculs!$B$36:$T$60,16)</f>
        <v>0</v>
      </c>
      <c r="E74" s="19">
        <f>VLOOKUP('A2_Données VAN'!E$62,B1_Calculs!$B$36:$T$60,16)</f>
        <v>0</v>
      </c>
      <c r="F74" s="19">
        <f>VLOOKUP('A2_Données VAN'!F$62,B1_Calculs!$B$36:$T$60,16)</f>
        <v>80000</v>
      </c>
      <c r="G74" s="19">
        <f>VLOOKUP('A2_Données VAN'!G$62,B1_Calculs!$B$36:$T$60,16)</f>
        <v>520000</v>
      </c>
      <c r="H74" s="19">
        <f>VLOOKUP('A2_Données VAN'!H$62,B1_Calculs!$B$36:$T$60,16)</f>
        <v>50000</v>
      </c>
      <c r="I74" s="19">
        <f>VLOOKUP('A2_Données VAN'!I$62,B1_Calculs!$B$36:$T$60,16)</f>
        <v>0</v>
      </c>
      <c r="J74" s="19">
        <f>VLOOKUP('A2_Données VAN'!J$62,B1_Calculs!$B$36:$T$60,16)</f>
        <v>0</v>
      </c>
      <c r="K74" s="19">
        <f>VLOOKUP('A2_Données VAN'!K$62,B1_Calculs!$B$36:$T$60,16)</f>
        <v>0</v>
      </c>
      <c r="L74" s="19">
        <f>VLOOKUP('A2_Données VAN'!L$62,B1_Calculs!$B$36:$T$60,16)</f>
        <v>0</v>
      </c>
      <c r="M74" s="19">
        <f>VLOOKUP('A2_Données VAN'!M$62,B1_Calculs!$B$36:$T$60,16)</f>
        <v>0</v>
      </c>
      <c r="N74" s="19">
        <f>VLOOKUP('A2_Données VAN'!N$62,B1_Calculs!$B$36:$T$60,16)</f>
        <v>0</v>
      </c>
      <c r="O74" s="19">
        <f>VLOOKUP('A2_Données VAN'!O$62,B1_Calculs!$B$36:$T$60,16)</f>
        <v>0</v>
      </c>
      <c r="P74" s="19">
        <f>VLOOKUP('A2_Données VAN'!P$62,B1_Calculs!$B$36:$T$60,16)</f>
        <v>0</v>
      </c>
      <c r="Q74" s="19">
        <f>VLOOKUP('A2_Données VAN'!Q$62,B1_Calculs!$B$36:$T$60,16)</f>
        <v>0</v>
      </c>
      <c r="R74" s="19">
        <f>VLOOKUP('A2_Données VAN'!R$62,B1_Calculs!$B$36:$T$60,16)</f>
        <v>0</v>
      </c>
      <c r="S74" s="19">
        <f>VLOOKUP('A2_Données VAN'!S$62,B1_Calculs!$B$36:$T$60,16)</f>
        <v>0</v>
      </c>
      <c r="T74" s="19">
        <f>VLOOKUP('A2_Données VAN'!T$62,B1_Calculs!$B$36:$T$60,16)</f>
        <v>0</v>
      </c>
      <c r="U74" s="19">
        <f>VLOOKUP('A2_Données VAN'!U$62,B1_Calculs!$B$36:$T$60,16)</f>
        <v>0</v>
      </c>
      <c r="V74" s="19">
        <f>VLOOKUP('A2_Données VAN'!V$62,B1_Calculs!$B$36:$T$60,16)</f>
        <v>0</v>
      </c>
    </row>
    <row r="75" spans="1:22" x14ac:dyDescent="0.2">
      <c r="A75" s="3">
        <v>928</v>
      </c>
      <c r="B75" s="27" t="s">
        <v>552</v>
      </c>
      <c r="C75" s="27" t="s">
        <v>518</v>
      </c>
      <c r="D75" s="19">
        <f>VLOOKUP('A2_Données VAN'!D$62,B1_Calculs!$B$36:$T$60,15)</f>
        <v>0</v>
      </c>
      <c r="E75" s="19">
        <f>VLOOKUP('A2_Données VAN'!E$62,B1_Calculs!$B$36:$T$60,15)</f>
        <v>0</v>
      </c>
      <c r="F75" s="19">
        <f>VLOOKUP('A2_Données VAN'!F$62,B1_Calculs!$B$36:$T$60,15)</f>
        <v>19000.637624999999</v>
      </c>
      <c r="G75" s="19">
        <f>VLOOKUP('A2_Données VAN'!G$62,B1_Calculs!$B$36:$T$60,15)</f>
        <v>131395.17619491351</v>
      </c>
      <c r="H75" s="19">
        <f>VLOOKUP('A2_Données VAN'!H$62,B1_Calculs!$B$36:$T$60,15)</f>
        <v>277084.93450852402</v>
      </c>
      <c r="I75" s="19">
        <f>VLOOKUP('A2_Données VAN'!I$62,B1_Calculs!$B$36:$T$60,15)</f>
        <v>287856.0340102351</v>
      </c>
      <c r="J75" s="19">
        <f>VLOOKUP('A2_Données VAN'!J$62,B1_Calculs!$B$36:$T$60,15)</f>
        <v>288846.83851148636</v>
      </c>
      <c r="K75" s="19">
        <f>VLOOKUP('A2_Données VAN'!K$62,B1_Calculs!$B$36:$T$60,15)</f>
        <v>289847.739833334</v>
      </c>
      <c r="L75" s="19">
        <f>VLOOKUP('A2_Données VAN'!L$62,B1_Calculs!$B$36:$T$60,15)</f>
        <v>290858.83892510645</v>
      </c>
      <c r="M75" s="19">
        <f>VLOOKUP('A2_Données VAN'!M$62,B1_Calculs!$B$36:$T$60,15)</f>
        <v>291880.2377456273</v>
      </c>
      <c r="N75" s="19">
        <f>VLOOKUP('A2_Données VAN'!N$62,B1_Calculs!$B$36:$T$60,15)</f>
        <v>292912.03927331022</v>
      </c>
      <c r="O75" s="19">
        <f>VLOOKUP('A2_Données VAN'!O$62,B1_Calculs!$B$36:$T$60,15)</f>
        <v>293954.34751635487</v>
      </c>
      <c r="P75" s="19">
        <f>VLOOKUP('A2_Données VAN'!P$62,B1_Calculs!$B$36:$T$60,15)</f>
        <v>295007.26752304501</v>
      </c>
      <c r="Q75" s="19">
        <f>VLOOKUP('A2_Données VAN'!Q$62,B1_Calculs!$B$36:$T$60,15)</f>
        <v>296070.90539214888</v>
      </c>
      <c r="R75" s="19">
        <f>VLOOKUP('A2_Données VAN'!R$62,B1_Calculs!$B$36:$T$60,15)</f>
        <v>297145.36828342447</v>
      </c>
      <c r="S75" s="19">
        <f>VLOOKUP('A2_Données VAN'!S$62,B1_Calculs!$B$36:$T$60,15)</f>
        <v>298230.76442822895</v>
      </c>
      <c r="T75" s="19">
        <f>VLOOKUP('A2_Données VAN'!T$62,B1_Calculs!$B$36:$T$60,15)</f>
        <v>299327.20314023539</v>
      </c>
      <c r="U75" s="19">
        <f>VLOOKUP('A2_Données VAN'!U$62,B1_Calculs!$B$36:$T$60,15)</f>
        <v>300434.79482625506</v>
      </c>
      <c r="V75" s="19">
        <f>VLOOKUP('A2_Données VAN'!V$62,B1_Calculs!$B$36:$T$60,15)</f>
        <v>301553.65099716949</v>
      </c>
    </row>
    <row r="76" spans="1:22" x14ac:dyDescent="0.2">
      <c r="A76" s="3">
        <v>929</v>
      </c>
      <c r="B76" s="27" t="s">
        <v>553</v>
      </c>
      <c r="C76" s="27" t="s">
        <v>518</v>
      </c>
      <c r="D76" s="19">
        <f>((D62='E1_Données de projet'!$D$77)*'E1_Données de projet'!$D$76+(D62='E1_Données de projet'!$D$79)*'E1_Données de projet'!$D$78)*('A2_Données VAN'!D62&gt;0)</f>
        <v>0</v>
      </c>
      <c r="E76" s="19">
        <f>((E62='E1_Données de projet'!$D$77)*'E1_Données de projet'!$D$76+(E62='E1_Données de projet'!$D$79)*'E1_Données de projet'!$D$78)*('A2_Données VAN'!E62&gt;0)</f>
        <v>0</v>
      </c>
      <c r="F76" s="19">
        <f>((F62='E1_Données de projet'!$D$77)*'E1_Données de projet'!$D$76+(F62='E1_Données de projet'!$D$79)*'E1_Données de projet'!$D$78)*('A2_Données VAN'!F62&gt;0)</f>
        <v>159000</v>
      </c>
      <c r="G76" s="19">
        <f>((G62='E1_Données de projet'!$D$77)*'E1_Données de projet'!$D$76+(G62='E1_Données de projet'!$D$79)*'E1_Données de projet'!$D$78)*('A2_Données VAN'!G62&gt;0)</f>
        <v>50000</v>
      </c>
      <c r="H76" s="19">
        <f>((H62='E1_Données de projet'!$D$77)*'E1_Données de projet'!$D$76+(H62='E1_Données de projet'!$D$79)*'E1_Données de projet'!$D$78)*('A2_Données VAN'!H62&gt;0)</f>
        <v>0</v>
      </c>
      <c r="I76" s="19">
        <f>((I62='E1_Données de projet'!$D$77)*'E1_Données de projet'!$D$76+(I62='E1_Données de projet'!$D$79)*'E1_Données de projet'!$D$78)*('A2_Données VAN'!I62&gt;0)</f>
        <v>0</v>
      </c>
      <c r="J76" s="19">
        <f>((J62='E1_Données de projet'!$D$77)*'E1_Données de projet'!$D$76+(J62='E1_Données de projet'!$D$79)*'E1_Données de projet'!$D$78)*('A2_Données VAN'!J62&gt;0)</f>
        <v>0</v>
      </c>
      <c r="K76" s="19">
        <f>((K62='E1_Données de projet'!$D$77)*'E1_Données de projet'!$D$76+(K62='E1_Données de projet'!$D$79)*'E1_Données de projet'!$D$78)*('A2_Données VAN'!K62&gt;0)</f>
        <v>0</v>
      </c>
      <c r="L76" s="19">
        <f>((L62='E1_Données de projet'!$D$77)*'E1_Données de projet'!$D$76+(L62='E1_Données de projet'!$D$79)*'E1_Données de projet'!$D$78)*('A2_Données VAN'!L62&gt;0)</f>
        <v>0</v>
      </c>
      <c r="M76" s="19">
        <f>((M62='E1_Données de projet'!$D$77)*'E1_Données de projet'!$D$76+(M62='E1_Données de projet'!$D$79)*'E1_Données de projet'!$D$78)*('A2_Données VAN'!M62&gt;0)</f>
        <v>0</v>
      </c>
      <c r="N76" s="19">
        <f>((N62='E1_Données de projet'!$D$77)*'E1_Données de projet'!$D$76+(N62='E1_Données de projet'!$D$79)*'E1_Données de projet'!$D$78)*('A2_Données VAN'!N62&gt;0)</f>
        <v>0</v>
      </c>
      <c r="O76" s="19">
        <f>((O62='E1_Données de projet'!$D$77)*'E1_Données de projet'!$D$76+(O62='E1_Données de projet'!$D$79)*'E1_Données de projet'!$D$78)*('A2_Données VAN'!O62&gt;0)</f>
        <v>0</v>
      </c>
      <c r="P76" s="19">
        <f>((P62='E1_Données de projet'!$D$77)*'E1_Données de projet'!$D$76+(P62='E1_Données de projet'!$D$79)*'E1_Données de projet'!$D$78)*('A2_Données VAN'!P62&gt;0)</f>
        <v>0</v>
      </c>
      <c r="Q76" s="19">
        <f>((Q62='E1_Données de projet'!$D$77)*'E1_Données de projet'!$D$76+(Q62='E1_Données de projet'!$D$79)*'E1_Données de projet'!$D$78)*('A2_Données VAN'!Q62&gt;0)</f>
        <v>0</v>
      </c>
      <c r="R76" s="19">
        <f>((R62='E1_Données de projet'!$D$77)*'E1_Données de projet'!$D$76+(R62='E1_Données de projet'!$D$79)*'E1_Données de projet'!$D$78)*('A2_Données VAN'!R62&gt;0)</f>
        <v>0</v>
      </c>
      <c r="S76" s="19">
        <f>((S62='E1_Données de projet'!$D$77)*'E1_Données de projet'!$D$76+(S62='E1_Données de projet'!$D$79)*'E1_Données de projet'!$D$78)*('A2_Données VAN'!S62&gt;0)</f>
        <v>0</v>
      </c>
      <c r="T76" s="19">
        <f>((T62='E1_Données de projet'!$D$77)*'E1_Données de projet'!$D$76+(T62='E1_Données de projet'!$D$79)*'E1_Données de projet'!$D$78)*('A2_Données VAN'!T62&gt;0)</f>
        <v>0</v>
      </c>
      <c r="U76" s="19">
        <f>((U62='E1_Données de projet'!$D$77)*'E1_Données de projet'!$D$76+(U62='E1_Données de projet'!$D$79)*'E1_Données de projet'!$D$78)*('A2_Données VAN'!U62&gt;0)</f>
        <v>0</v>
      </c>
      <c r="V76" s="19">
        <f>((V62='E1_Données de projet'!$D$77)*'E1_Données de projet'!$D$76+(V62='E1_Données de projet'!$D$79)*'E1_Données de projet'!$D$78)*('A2_Données VAN'!V62&gt;0)</f>
        <v>0</v>
      </c>
    </row>
    <row r="77" spans="1:22" x14ac:dyDescent="0.2"/>
    <row r="78" spans="1:22" x14ac:dyDescent="0.2">
      <c r="A78" s="3">
        <v>930</v>
      </c>
      <c r="B78" s="36" t="s">
        <v>554</v>
      </c>
    </row>
    <row r="79" spans="1:22" x14ac:dyDescent="0.2">
      <c r="A79" s="3">
        <v>561</v>
      </c>
      <c r="B79" s="11" t="s">
        <v>555</v>
      </c>
      <c r="C79" s="27" t="s">
        <v>518</v>
      </c>
      <c r="D79" s="37">
        <f>VLOOKUP('A2_Données VAN'!D$62,B1_Calculs!$B$36:$T$60,10)</f>
        <v>0</v>
      </c>
      <c r="E79" s="37">
        <f>VLOOKUP('A2_Données VAN'!E$62,B1_Calculs!$B$36:$T$60,10)</f>
        <v>0</v>
      </c>
      <c r="F79" s="37">
        <f>VLOOKUP('A2_Données VAN'!F$62,B1_Calculs!$B$36:$T$60,10)</f>
        <v>0</v>
      </c>
      <c r="G79" s="37">
        <f>VLOOKUP('A2_Données VAN'!G$62,B1_Calculs!$B$36:$T$60,10)</f>
        <v>0</v>
      </c>
      <c r="H79" s="37">
        <f>VLOOKUP('A2_Données VAN'!H$62,B1_Calculs!$B$36:$T$60,10)</f>
        <v>0</v>
      </c>
      <c r="I79" s="37">
        <f>VLOOKUP('A2_Données VAN'!I$62,B1_Calculs!$B$36:$T$60,10)</f>
        <v>0</v>
      </c>
      <c r="J79" s="37">
        <f>VLOOKUP('A2_Données VAN'!J$62,B1_Calculs!$B$36:$T$60,10)</f>
        <v>0</v>
      </c>
      <c r="K79" s="37">
        <f>VLOOKUP('A2_Données VAN'!K$62,B1_Calculs!$B$36:$T$60,10)</f>
        <v>0</v>
      </c>
      <c r="L79" s="37">
        <f>VLOOKUP('A2_Données VAN'!L$62,B1_Calculs!$B$36:$T$60,10)</f>
        <v>0</v>
      </c>
      <c r="M79" s="37">
        <f>VLOOKUP('A2_Données VAN'!M$62,B1_Calculs!$B$36:$T$60,10)</f>
        <v>0</v>
      </c>
      <c r="N79" s="37">
        <f>VLOOKUP('A2_Données VAN'!N$62,B1_Calculs!$B$36:$T$60,10)</f>
        <v>0</v>
      </c>
      <c r="O79" s="37">
        <f>VLOOKUP('A2_Données VAN'!O$62,B1_Calculs!$B$36:$T$60,10)</f>
        <v>0</v>
      </c>
      <c r="P79" s="37">
        <f>VLOOKUP('A2_Données VAN'!P$62,B1_Calculs!$B$36:$T$60,10)</f>
        <v>0</v>
      </c>
      <c r="Q79" s="37">
        <f>VLOOKUP('A2_Données VAN'!Q$62,B1_Calculs!$B$36:$T$60,10)</f>
        <v>0</v>
      </c>
      <c r="R79" s="37">
        <f>VLOOKUP('A2_Données VAN'!R$62,B1_Calculs!$B$36:$T$60,10)</f>
        <v>0</v>
      </c>
      <c r="S79" s="37">
        <f>VLOOKUP('A2_Données VAN'!S$62,B1_Calculs!$B$36:$T$60,10)</f>
        <v>0</v>
      </c>
      <c r="T79" s="37">
        <f>VLOOKUP('A2_Données VAN'!T$62,B1_Calculs!$B$36:$T$60,10)</f>
        <v>0</v>
      </c>
      <c r="U79" s="37">
        <f>VLOOKUP('A2_Données VAN'!U$62,B1_Calculs!$B$36:$T$60,10)</f>
        <v>0</v>
      </c>
    </row>
    <row r="80" spans="1:22" x14ac:dyDescent="0.2">
      <c r="A80" s="3">
        <v>574</v>
      </c>
      <c r="B80" s="11" t="s">
        <v>556</v>
      </c>
      <c r="C80" s="27" t="s">
        <v>518</v>
      </c>
      <c r="D80" s="37">
        <f>VLOOKUP('A2_Données VAN'!D$62,B1_Calculs!$B$36:$T$60,18)</f>
        <v>0</v>
      </c>
      <c r="E80" s="37">
        <f>VLOOKUP('A2_Données VAN'!E$62,B1_Calculs!$B$36:$T$60,18)</f>
        <v>0</v>
      </c>
      <c r="F80" s="37">
        <f>VLOOKUP('A2_Données VAN'!F$62,B1_Calculs!$B$36:$T$60,18)</f>
        <v>0</v>
      </c>
      <c r="G80" s="37">
        <f>VLOOKUP('A2_Données VAN'!G$62,B1_Calculs!$B$36:$T$60,18)</f>
        <v>0</v>
      </c>
      <c r="H80" s="37">
        <f>VLOOKUP('A2_Données VAN'!H$62,B1_Calculs!$B$36:$T$60,18)</f>
        <v>0</v>
      </c>
      <c r="I80" s="37">
        <f>VLOOKUP('A2_Données VAN'!I$62,B1_Calculs!$B$36:$T$60,18)</f>
        <v>0</v>
      </c>
      <c r="J80" s="37">
        <f>VLOOKUP('A2_Données VAN'!J$62,B1_Calculs!$B$36:$T$60,18)</f>
        <v>0</v>
      </c>
      <c r="K80" s="37">
        <f>VLOOKUP('A2_Données VAN'!K$62,B1_Calculs!$B$36:$T$60,18)</f>
        <v>0</v>
      </c>
      <c r="L80" s="37">
        <f>VLOOKUP('A2_Données VAN'!L$62,B1_Calculs!$B$36:$T$60,18)</f>
        <v>0</v>
      </c>
      <c r="M80" s="37">
        <f>VLOOKUP('A2_Données VAN'!M$62,B1_Calculs!$B$36:$T$60,18)</f>
        <v>0</v>
      </c>
      <c r="N80" s="37">
        <f>VLOOKUP('A2_Données VAN'!N$62,B1_Calculs!$B$36:$T$60,18)</f>
        <v>0</v>
      </c>
      <c r="O80" s="37">
        <f>VLOOKUP('A2_Données VAN'!O$62,B1_Calculs!$B$36:$T$60,18)</f>
        <v>0</v>
      </c>
      <c r="P80" s="37">
        <f>VLOOKUP('A2_Données VAN'!P$62,B1_Calculs!$B$36:$T$60,18)</f>
        <v>0</v>
      </c>
      <c r="Q80" s="37">
        <f>VLOOKUP('A2_Données VAN'!Q$62,B1_Calculs!$B$36:$T$60,18)</f>
        <v>0</v>
      </c>
      <c r="R80" s="37">
        <f>VLOOKUP('A2_Données VAN'!R$62,B1_Calculs!$B$36:$T$60,18)</f>
        <v>0</v>
      </c>
      <c r="S80" s="37">
        <f>VLOOKUP('A2_Données VAN'!S$62,B1_Calculs!$B$36:$T$60,18)</f>
        <v>0</v>
      </c>
      <c r="T80" s="37">
        <f>VLOOKUP('A2_Données VAN'!T$62,B1_Calculs!$B$36:$T$60,18)</f>
        <v>0</v>
      </c>
      <c r="U80" s="37">
        <f>VLOOKUP('A2_Données VAN'!U$62,B1_Calculs!$B$36:$T$60,18)</f>
        <v>0</v>
      </c>
    </row>
    <row r="1048576" ht="12.75" hidden="1" customHeight="1" x14ac:dyDescent="0.2"/>
  </sheetData>
  <sheetProtection algorithmName="SHA-512" hashValue="29JDTCrie7NI2qDZqj8hjsiH/g9oT+N+kD2D3liQ1guqRmVr0O2kbeA/mbp2YX0RXpm+Yw5tM8S1KOxoYYvaDg==" saltValue="Ue4aZ8f34XnuMonhRw/4dQ==" spinCount="100000" sheet="1" objects="1" scenarios="1"/>
  <mergeCells count="4">
    <mergeCell ref="C7:C8"/>
    <mergeCell ref="D7:D8"/>
    <mergeCell ref="E7:E8"/>
    <mergeCell ref="F7:F8"/>
  </mergeCells>
  <conditionalFormatting sqref="T62:V76">
    <cfRule type="expression" dxfId="1" priority="2">
      <formula>T$62&gt;$S$42</formula>
    </cfRule>
  </conditionalFormatting>
  <conditionalFormatting sqref="D79:U80">
    <cfRule type="cellIs" dxfId="0" priority="1" operator="greaterThan">
      <formula>0</formula>
    </cfRule>
  </conditionalFormatting>
  <hyperlinks>
    <hyperlink ref="A1" location="I1_900" display="I1_900" xr:uid="{00000000-0004-0000-0600-000000000000}"/>
    <hyperlink ref="A3" location="I1_104" display="I1_104" xr:uid="{00000000-0004-0000-0600-000001000000}"/>
    <hyperlink ref="A5" location="I1_910" display="I1_910" xr:uid="{00000000-0004-0000-0600-000002000000}"/>
    <hyperlink ref="A6" location="I1_911" display="I1_911" xr:uid="{00000000-0004-0000-0600-000003000000}"/>
    <hyperlink ref="A25" location="I1_912" display="I1_912" xr:uid="{00000000-0004-0000-0600-000004000000}"/>
    <hyperlink ref="A42" location="I1_920" display="I1_920" xr:uid="{00000000-0004-0000-0600-000005000000}"/>
    <hyperlink ref="A44" location="I1_921" display="I1_921" xr:uid="{00000000-0004-0000-0600-000006000000}"/>
    <hyperlink ref="A61" location="I1_922" display="I1_922" xr:uid="{00000000-0004-0000-0600-000007000000}"/>
    <hyperlink ref="A65" location="I1_923" display="I1_923" xr:uid="{00000000-0004-0000-0600-000008000000}"/>
    <hyperlink ref="A66" location="I1_924" display="I1_924" xr:uid="{00000000-0004-0000-0600-000009000000}"/>
    <hyperlink ref="A69" location="I1_925" display="I1_925" xr:uid="{00000000-0004-0000-0600-00000A000000}"/>
    <hyperlink ref="A70" location="I1_926" display="I1_926" xr:uid="{00000000-0004-0000-0600-00000B000000}"/>
    <hyperlink ref="A74" location="I1_927" display="I1_927" xr:uid="{00000000-0004-0000-0600-00000C000000}"/>
    <hyperlink ref="A75" location="I1_928" display="I1_928" xr:uid="{00000000-0004-0000-0600-00000D000000}"/>
    <hyperlink ref="A76" location="I1_929" display="I1_929" xr:uid="{00000000-0004-0000-0600-00000E000000}"/>
    <hyperlink ref="A78" location="I1_930" display="I1_930" xr:uid="{00000000-0004-0000-0600-00000F000000}"/>
    <hyperlink ref="A79" location="I1_561" display="I1_561" xr:uid="{00000000-0004-0000-0600-000010000000}"/>
    <hyperlink ref="A80" location="I1_574" display="I1_574" xr:uid="{00000000-0004-0000-0600-000011000000}"/>
  </hyperlinks>
  <pageMargins left="0.78740157480314965" right="0.6692913385826772" top="1.1417322834645669" bottom="1.3385826771653544" header="0.51181102362204722" footer="0.51181102362204722"/>
  <pageSetup paperSize="8" scale="61" orientation="landscape" r:id="rId1"/>
  <headerFooter alignWithMargins="0">
    <oddHeader>&amp;L&amp;G&amp;R&amp;G</oddHeader>
    <oddFooter>&amp;L&amp;"Arial,Standard"&amp;10&amp;F&amp;C&amp;"Arial,Standard"&amp;10&amp;P / &amp;N &amp;R&amp;"Arial,Standard"&amp;10&amp;D</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278</vt:i4>
      </vt:variant>
    </vt:vector>
  </HeadingPairs>
  <TitlesOfParts>
    <vt:vector size="285" baseType="lpstr">
      <vt:lpstr>I1_Explications</vt:lpstr>
      <vt:lpstr>E1_Données de projet</vt:lpstr>
      <vt:lpstr>E2_Prix de la chaleur</vt:lpstr>
      <vt:lpstr>E3_Consommateurs</vt:lpstr>
      <vt:lpstr>B1_Calculs</vt:lpstr>
      <vt:lpstr>A1_Résultats</vt:lpstr>
      <vt:lpstr>A2_Données VAN</vt:lpstr>
      <vt:lpstr>Anteil_fossil_erzeugt</vt:lpstr>
      <vt:lpstr>A1_Résultats!Druckbereich</vt:lpstr>
      <vt:lpstr>B1_Calculs!Druckbereich</vt:lpstr>
      <vt:lpstr>'E1_Données de projet'!Druckbereich</vt:lpstr>
      <vt:lpstr>'E2_Prix de la chaleur'!Druckbereich</vt:lpstr>
      <vt:lpstr>E3_Consommateurs!Druckbereich</vt:lpstr>
      <vt:lpstr>'E1_Données de projet'!Drucktitel</vt:lpstr>
      <vt:lpstr>E3_Consommateurs!Drucktitel</vt:lpstr>
      <vt:lpstr>I1_Explications!Drucktitel</vt:lpstr>
      <vt:lpstr>Eing_Abnehmerart1</vt:lpstr>
      <vt:lpstr>Eing_Abnehmerart2</vt:lpstr>
      <vt:lpstr>Eing_Abnehmerart3</vt:lpstr>
      <vt:lpstr>Eing_Abnehmerart4</vt:lpstr>
      <vt:lpstr>Eing_Administration</vt:lpstr>
      <vt:lpstr>Eing_allg_Teuerung</vt:lpstr>
      <vt:lpstr>Eing_Anteil_Biomasse</vt:lpstr>
      <vt:lpstr>Eing_Arbeitspreis1</vt:lpstr>
      <vt:lpstr>Eing_Arbeitspreis2</vt:lpstr>
      <vt:lpstr>Eing_Arbeitspreis3</vt:lpstr>
      <vt:lpstr>Eing_Arbeitspreis4</vt:lpstr>
      <vt:lpstr>Eing_Beginnjahr</vt:lpstr>
      <vt:lpstr>Eing_Betriebskosten</vt:lpstr>
      <vt:lpstr>Eing_Förderung_wiederholend_Laufzeit</vt:lpstr>
      <vt:lpstr>Eing_Jahresnutzungsgrad_Kessel</vt:lpstr>
      <vt:lpstr>Eing_Kosten_Bau</vt:lpstr>
      <vt:lpstr>Eing_Kosten_Grundstück</vt:lpstr>
      <vt:lpstr>Eing_Kosten_Hausstationen</vt:lpstr>
      <vt:lpstr>Eing_Kosten_Planung_QM</vt:lpstr>
      <vt:lpstr>Eing_Kosten_Wärmeerzeugung</vt:lpstr>
      <vt:lpstr>Eing_Kosten_Wärmenetz</vt:lpstr>
      <vt:lpstr>Eing_Kredit_1</vt:lpstr>
      <vt:lpstr>Eing_Kredit_2</vt:lpstr>
      <vt:lpstr>Eing_Kreditlaufzeit_1</vt:lpstr>
      <vt:lpstr>Eing_Kreditlaufzeit_2</vt:lpstr>
      <vt:lpstr>Eing_Kreditstartjahr_1</vt:lpstr>
      <vt:lpstr>Eing_Kreditstartjahr_2</vt:lpstr>
      <vt:lpstr>Eing_Kreditzinssatz_1</vt:lpstr>
      <vt:lpstr>Eing_Kreditzinssatz_2</vt:lpstr>
      <vt:lpstr>Eing_Leistungspreis1</vt:lpstr>
      <vt:lpstr>Eing_Leistungspreis2</vt:lpstr>
      <vt:lpstr>Eing_Leistungspreis3</vt:lpstr>
      <vt:lpstr>Eing_Leistungspreis4</vt:lpstr>
      <vt:lpstr>Eing_Netzverluste</vt:lpstr>
      <vt:lpstr>Eing_Nominalzins</vt:lpstr>
      <vt:lpstr>Eing_Realzins</vt:lpstr>
      <vt:lpstr>Eing_Rohstoffpreis_Biomasse</vt:lpstr>
      <vt:lpstr>Eing_Rohstoffpreis_fossil</vt:lpstr>
      <vt:lpstr>Eing_Sonstige_Kosten</vt:lpstr>
      <vt:lpstr>Eing_Spez_Stromverbrauch</vt:lpstr>
      <vt:lpstr>Eing_Strompreis</vt:lpstr>
      <vt:lpstr>Eing_Unterhaltskosten</vt:lpstr>
      <vt:lpstr>Eing_verkaufteWM</vt:lpstr>
      <vt:lpstr>Eing_Vertragslaufzeit1</vt:lpstr>
      <vt:lpstr>Eing_Vertragslaufzeit2</vt:lpstr>
      <vt:lpstr>Eing_Vertragslaufzeit3</vt:lpstr>
      <vt:lpstr>Eing_Vertragslaufzeit4</vt:lpstr>
      <vt:lpstr>Eingesetzte_Brennstoffwärme_Biomasse</vt:lpstr>
      <vt:lpstr>Eingesetzte_Brennstoffwärme_fossil</vt:lpstr>
      <vt:lpstr>Einmaliger_Förderbeitrag_1</vt:lpstr>
      <vt:lpstr>Einmaliger_Förderbeitrag_2</vt:lpstr>
      <vt:lpstr>Erg_Wärmepreis</vt:lpstr>
      <vt:lpstr>Ergebnisblatt_Projekttitel</vt:lpstr>
      <vt:lpstr>Erstauszahlung_jährlFörderung</vt:lpstr>
      <vt:lpstr>Erzeugte_Wärmemenge</vt:lpstr>
      <vt:lpstr>Förderlaufzeit</vt:lpstr>
      <vt:lpstr>Förderungsauszahlung_1</vt:lpstr>
      <vt:lpstr>Förderungsauszahlung_2</vt:lpstr>
      <vt:lpstr>Gesamte_Investitionskosten</vt:lpstr>
      <vt:lpstr>Gesamtinvestition</vt:lpstr>
      <vt:lpstr>Gewbl_Wärmemenge</vt:lpstr>
      <vt:lpstr>Grundpreis</vt:lpstr>
      <vt:lpstr>I1_100</vt:lpstr>
      <vt:lpstr>I1_101</vt:lpstr>
      <vt:lpstr>I1_102</vt:lpstr>
      <vt:lpstr>I1_103</vt:lpstr>
      <vt:lpstr>I1_104</vt:lpstr>
      <vt:lpstr>I1_105</vt:lpstr>
      <vt:lpstr>I1_106</vt:lpstr>
      <vt:lpstr>I1_107</vt:lpstr>
      <vt:lpstr>I1_108</vt:lpstr>
      <vt:lpstr>I1_110</vt:lpstr>
      <vt:lpstr>I1_111</vt:lpstr>
      <vt:lpstr>I1_112</vt:lpstr>
      <vt:lpstr>i1_113</vt:lpstr>
      <vt:lpstr>I1_114</vt:lpstr>
      <vt:lpstr>I1_115</vt:lpstr>
      <vt:lpstr>I1_120</vt:lpstr>
      <vt:lpstr>I1_121</vt:lpstr>
      <vt:lpstr>I1_122</vt:lpstr>
      <vt:lpstr>I1_123</vt:lpstr>
      <vt:lpstr>I1_124</vt:lpstr>
      <vt:lpstr>I1_125</vt:lpstr>
      <vt:lpstr>I1_126</vt:lpstr>
      <vt:lpstr>I1_127</vt:lpstr>
      <vt:lpstr>I1_130</vt:lpstr>
      <vt:lpstr>I1_131</vt:lpstr>
      <vt:lpstr>I1_132</vt:lpstr>
      <vt:lpstr>I1_135</vt:lpstr>
      <vt:lpstr>I1_136</vt:lpstr>
      <vt:lpstr>I1_137</vt:lpstr>
      <vt:lpstr>I1_138</vt:lpstr>
      <vt:lpstr>I1_139</vt:lpstr>
      <vt:lpstr>I1_140</vt:lpstr>
      <vt:lpstr>I1_141</vt:lpstr>
      <vt:lpstr>I1_142</vt:lpstr>
      <vt:lpstr>I1_143</vt:lpstr>
      <vt:lpstr>I1_150</vt:lpstr>
      <vt:lpstr>I1_151</vt:lpstr>
      <vt:lpstr>I1_152</vt:lpstr>
      <vt:lpstr>I1_153</vt:lpstr>
      <vt:lpstr>I1_154</vt:lpstr>
      <vt:lpstr>I1_155</vt:lpstr>
      <vt:lpstr>I1_156</vt:lpstr>
      <vt:lpstr>I1_157</vt:lpstr>
      <vt:lpstr>I1_158</vt:lpstr>
      <vt:lpstr>I1_159</vt:lpstr>
      <vt:lpstr>I1_160</vt:lpstr>
      <vt:lpstr>I1_161</vt:lpstr>
      <vt:lpstr>I1_162</vt:lpstr>
      <vt:lpstr>I1_163</vt:lpstr>
      <vt:lpstr>I1_165</vt:lpstr>
      <vt:lpstr>I1_166</vt:lpstr>
      <vt:lpstr>I1_167</vt:lpstr>
      <vt:lpstr>I1_168</vt:lpstr>
      <vt:lpstr>I1_169</vt:lpstr>
      <vt:lpstr>I1_170</vt:lpstr>
      <vt:lpstr>I1_171</vt:lpstr>
      <vt:lpstr>I1_172</vt:lpstr>
      <vt:lpstr>I1_173</vt:lpstr>
      <vt:lpstr>I1_174</vt:lpstr>
      <vt:lpstr>I1_175</vt:lpstr>
      <vt:lpstr>I1_176</vt:lpstr>
      <vt:lpstr>I1_177</vt:lpstr>
      <vt:lpstr>I1_178</vt:lpstr>
      <vt:lpstr>I1_179</vt:lpstr>
      <vt:lpstr>I1_180</vt:lpstr>
      <vt:lpstr>I1_181</vt:lpstr>
      <vt:lpstr>I1_182</vt:lpstr>
      <vt:lpstr>I1_183</vt:lpstr>
      <vt:lpstr>I1_184</vt:lpstr>
      <vt:lpstr>I1_185</vt:lpstr>
      <vt:lpstr>I1_186</vt:lpstr>
      <vt:lpstr>I1_187</vt:lpstr>
      <vt:lpstr>I1_190</vt:lpstr>
      <vt:lpstr>I1_191</vt:lpstr>
      <vt:lpstr>I1_192</vt:lpstr>
      <vt:lpstr>I1_193</vt:lpstr>
      <vt:lpstr>I1_194</vt:lpstr>
      <vt:lpstr>I1_195</vt:lpstr>
      <vt:lpstr>I1_196</vt:lpstr>
      <vt:lpstr>I1_197</vt:lpstr>
      <vt:lpstr>I1_198</vt:lpstr>
      <vt:lpstr>I1_199</vt:lpstr>
      <vt:lpstr>I1_200</vt:lpstr>
      <vt:lpstr>I1_206</vt:lpstr>
      <vt:lpstr>I1_207</vt:lpstr>
      <vt:lpstr>I1_210</vt:lpstr>
      <vt:lpstr>I1_211</vt:lpstr>
      <vt:lpstr>I1_212</vt:lpstr>
      <vt:lpstr>I1_213</vt:lpstr>
      <vt:lpstr>I1_214</vt:lpstr>
      <vt:lpstr>I1_221</vt:lpstr>
      <vt:lpstr>I1_222</vt:lpstr>
      <vt:lpstr>I1_223</vt:lpstr>
      <vt:lpstr>I1_231</vt:lpstr>
      <vt:lpstr>I1_232</vt:lpstr>
      <vt:lpstr>I1_233</vt:lpstr>
      <vt:lpstr>I1_241</vt:lpstr>
      <vt:lpstr>I1_242</vt:lpstr>
      <vt:lpstr>I1_243</vt:lpstr>
      <vt:lpstr>I1_300</vt:lpstr>
      <vt:lpstr>I1_310</vt:lpstr>
      <vt:lpstr>I1_311</vt:lpstr>
      <vt:lpstr>I1_312</vt:lpstr>
      <vt:lpstr>I1_320</vt:lpstr>
      <vt:lpstr>I1_321</vt:lpstr>
      <vt:lpstr>I1_322</vt:lpstr>
      <vt:lpstr>I1_323</vt:lpstr>
      <vt:lpstr>I1_324</vt:lpstr>
      <vt:lpstr>I1_325</vt:lpstr>
      <vt:lpstr>I1_330</vt:lpstr>
      <vt:lpstr>I1_331</vt:lpstr>
      <vt:lpstr>I1_332</vt:lpstr>
      <vt:lpstr>I1_333</vt:lpstr>
      <vt:lpstr>I1_334</vt:lpstr>
      <vt:lpstr>I1_335</vt:lpstr>
      <vt:lpstr>I1_500</vt:lpstr>
      <vt:lpstr>I1_501</vt:lpstr>
      <vt:lpstr>I1_505</vt:lpstr>
      <vt:lpstr>I1_510</vt:lpstr>
      <vt:lpstr>I1_511</vt:lpstr>
      <vt:lpstr>I1_512</vt:lpstr>
      <vt:lpstr>I1_513</vt:lpstr>
      <vt:lpstr>I1_514</vt:lpstr>
      <vt:lpstr>I1_515</vt:lpstr>
      <vt:lpstr>I1_516</vt:lpstr>
      <vt:lpstr>I1_517</vt:lpstr>
      <vt:lpstr>I1_518</vt:lpstr>
      <vt:lpstr>I1_519</vt:lpstr>
      <vt:lpstr>I1_520</vt:lpstr>
      <vt:lpstr>I1_530</vt:lpstr>
      <vt:lpstr>I1_531</vt:lpstr>
      <vt:lpstr>I1_550</vt:lpstr>
      <vt:lpstr>I1_551</vt:lpstr>
      <vt:lpstr>I1_552</vt:lpstr>
      <vt:lpstr>I1_553</vt:lpstr>
      <vt:lpstr>I1_554</vt:lpstr>
      <vt:lpstr>I1_555</vt:lpstr>
      <vt:lpstr>I1_556</vt:lpstr>
      <vt:lpstr>I1_557</vt:lpstr>
      <vt:lpstr>I1_558</vt:lpstr>
      <vt:lpstr>I1_559</vt:lpstr>
      <vt:lpstr>I1_560</vt:lpstr>
      <vt:lpstr>I1_561</vt:lpstr>
      <vt:lpstr>I1_562</vt:lpstr>
      <vt:lpstr>I1_563</vt:lpstr>
      <vt:lpstr>I1_564</vt:lpstr>
      <vt:lpstr>I1_571</vt:lpstr>
      <vt:lpstr>I1_572</vt:lpstr>
      <vt:lpstr>I1_573</vt:lpstr>
      <vt:lpstr>I1_574</vt:lpstr>
      <vt:lpstr>I1_575</vt:lpstr>
      <vt:lpstr>I1_576</vt:lpstr>
      <vt:lpstr>I1_577</vt:lpstr>
      <vt:lpstr>I1_578</vt:lpstr>
      <vt:lpstr>I1_580</vt:lpstr>
      <vt:lpstr>I1_581</vt:lpstr>
      <vt:lpstr>I1_582</vt:lpstr>
      <vt:lpstr>I1_583</vt:lpstr>
      <vt:lpstr>I1_584</vt:lpstr>
      <vt:lpstr>I1_586</vt:lpstr>
      <vt:lpstr>I1_587</vt:lpstr>
      <vt:lpstr>I1_588</vt:lpstr>
      <vt:lpstr>I1_589</vt:lpstr>
      <vt:lpstr>I1_590</vt:lpstr>
      <vt:lpstr>I1_591</vt:lpstr>
      <vt:lpstr>I1_600</vt:lpstr>
      <vt:lpstr>I1_610</vt:lpstr>
      <vt:lpstr>I1_612</vt:lpstr>
      <vt:lpstr>I1_613</vt:lpstr>
      <vt:lpstr>I1_615</vt:lpstr>
      <vt:lpstr>I1_620</vt:lpstr>
      <vt:lpstr>I1_621</vt:lpstr>
      <vt:lpstr>I1_622</vt:lpstr>
      <vt:lpstr>I1_623</vt:lpstr>
      <vt:lpstr>I1_624</vt:lpstr>
      <vt:lpstr>I1_625</vt:lpstr>
      <vt:lpstr>I1_626</vt:lpstr>
      <vt:lpstr>I1_627</vt:lpstr>
      <vt:lpstr>I1_650</vt:lpstr>
      <vt:lpstr>I1_651</vt:lpstr>
      <vt:lpstr>I1_652</vt:lpstr>
      <vt:lpstr>I1_653</vt:lpstr>
      <vt:lpstr>I1_660</vt:lpstr>
      <vt:lpstr>I1_661</vt:lpstr>
      <vt:lpstr>I1_690</vt:lpstr>
      <vt:lpstr>I1_900</vt:lpstr>
      <vt:lpstr>I1_910</vt:lpstr>
      <vt:lpstr>I1_911</vt:lpstr>
      <vt:lpstr>I1_912</vt:lpstr>
      <vt:lpstr>I1_920</vt:lpstr>
      <vt:lpstr>I1_921</vt:lpstr>
      <vt:lpstr>I1_922</vt:lpstr>
      <vt:lpstr>I1_923</vt:lpstr>
      <vt:lpstr>I1_924</vt:lpstr>
      <vt:lpstr>I1_925</vt:lpstr>
      <vt:lpstr>I1_926</vt:lpstr>
      <vt:lpstr>I1_927</vt:lpstr>
      <vt:lpstr>I1_928</vt:lpstr>
      <vt:lpstr>I1_929</vt:lpstr>
      <vt:lpstr>I1_930</vt:lpstr>
      <vt:lpstr>jährlicher_Förderbeitrag</vt:lpstr>
      <vt:lpstr>jährlicher_Stromverbrauch</vt:lpstr>
      <vt:lpstr>järhliche_Stromkosten</vt:lpstr>
      <vt:lpstr>maxEigenkapital</vt:lpstr>
      <vt:lpstr>Realzins</vt:lpstr>
      <vt:lpstr>Stromverbrauch</vt:lpstr>
      <vt:lpstr>Wärmepreis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Patrik Küttel</dc:creator>
  <cp:lastModifiedBy>Patrik Küttel</cp:lastModifiedBy>
  <cp:lastPrinted>2022-09-13T12:39:33Z</cp:lastPrinted>
  <dcterms:created xsi:type="dcterms:W3CDTF">2008-04-08T07:16:33Z</dcterms:created>
  <dcterms:modified xsi:type="dcterms:W3CDTF">2022-09-14T09:35:12Z</dcterms:modified>
</cp:coreProperties>
</file>